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024-2025\Март 2025\"/>
    </mc:Choice>
  </mc:AlternateContent>
  <bookViews>
    <workbookView xWindow="0" yWindow="0" windowWidth="20490" windowHeight="99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Лист1!$A$1:$R$331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5" i="1" l="1"/>
  <c r="M315" i="1"/>
  <c r="L315" i="1"/>
  <c r="K315" i="1"/>
  <c r="I315" i="1"/>
  <c r="H315" i="1"/>
  <c r="G315" i="1"/>
  <c r="F315" i="1"/>
  <c r="N314" i="1"/>
  <c r="M314" i="1"/>
  <c r="L314" i="1"/>
  <c r="K314" i="1"/>
  <c r="I314" i="1"/>
  <c r="H314" i="1"/>
  <c r="G314" i="1"/>
  <c r="F314" i="1"/>
  <c r="N282" i="1"/>
  <c r="M282" i="1"/>
  <c r="L282" i="1"/>
  <c r="K282" i="1"/>
  <c r="I282" i="1"/>
  <c r="H282" i="1"/>
  <c r="G282" i="1"/>
  <c r="F282" i="1"/>
  <c r="N281" i="1"/>
  <c r="M281" i="1"/>
  <c r="L281" i="1"/>
  <c r="K281" i="1"/>
  <c r="I281" i="1"/>
  <c r="H281" i="1"/>
  <c r="G281" i="1"/>
  <c r="F281" i="1"/>
  <c r="N249" i="1"/>
  <c r="M249" i="1"/>
  <c r="L249" i="1"/>
  <c r="K249" i="1"/>
  <c r="I249" i="1"/>
  <c r="H249" i="1"/>
  <c r="G249" i="1"/>
  <c r="F249" i="1"/>
  <c r="N248" i="1"/>
  <c r="M248" i="1"/>
  <c r="L248" i="1"/>
  <c r="K248" i="1"/>
  <c r="I248" i="1"/>
  <c r="H248" i="1"/>
  <c r="G248" i="1"/>
  <c r="F248" i="1"/>
  <c r="N216" i="1"/>
  <c r="M216" i="1"/>
  <c r="L216" i="1"/>
  <c r="K216" i="1"/>
  <c r="I216" i="1"/>
  <c r="H216" i="1"/>
  <c r="G216" i="1"/>
  <c r="F216" i="1"/>
  <c r="N215" i="1"/>
  <c r="M215" i="1"/>
  <c r="L215" i="1"/>
  <c r="K215" i="1"/>
  <c r="I215" i="1"/>
  <c r="H215" i="1"/>
  <c r="G215" i="1"/>
  <c r="F215" i="1"/>
  <c r="N186" i="1" l="1"/>
  <c r="M186" i="1"/>
  <c r="L186" i="1"/>
  <c r="K186" i="1"/>
  <c r="I186" i="1"/>
  <c r="H186" i="1"/>
  <c r="G186" i="1"/>
  <c r="F186" i="1"/>
  <c r="N185" i="1"/>
  <c r="M185" i="1"/>
  <c r="L185" i="1"/>
  <c r="K185" i="1"/>
  <c r="I185" i="1"/>
  <c r="H185" i="1"/>
  <c r="G185" i="1"/>
  <c r="F185" i="1"/>
  <c r="N152" i="1"/>
  <c r="M152" i="1"/>
  <c r="L152" i="1"/>
  <c r="K152" i="1"/>
  <c r="I152" i="1"/>
  <c r="H152" i="1"/>
  <c r="G152" i="1"/>
  <c r="F152" i="1"/>
  <c r="N151" i="1"/>
  <c r="M151" i="1"/>
  <c r="L151" i="1"/>
  <c r="K151" i="1"/>
  <c r="I151" i="1"/>
  <c r="H151" i="1"/>
  <c r="G151" i="1"/>
  <c r="F151" i="1"/>
  <c r="N121" i="1"/>
  <c r="M121" i="1"/>
  <c r="L121" i="1"/>
  <c r="K121" i="1"/>
  <c r="I121" i="1"/>
  <c r="H121" i="1"/>
  <c r="G121" i="1"/>
  <c r="F121" i="1"/>
  <c r="N120" i="1"/>
  <c r="M120" i="1"/>
  <c r="L120" i="1"/>
  <c r="K120" i="1"/>
  <c r="I120" i="1"/>
  <c r="H120" i="1"/>
  <c r="G120" i="1"/>
  <c r="F120" i="1"/>
  <c r="N90" i="1" l="1"/>
  <c r="M90" i="1"/>
  <c r="L90" i="1"/>
  <c r="K90" i="1"/>
  <c r="I90" i="1"/>
  <c r="H90" i="1"/>
  <c r="G90" i="1"/>
  <c r="F90" i="1"/>
  <c r="N89" i="1"/>
  <c r="M89" i="1"/>
  <c r="L89" i="1"/>
  <c r="K89" i="1"/>
  <c r="I89" i="1"/>
  <c r="H89" i="1"/>
  <c r="G89" i="1"/>
  <c r="F89" i="1"/>
  <c r="N57" i="1"/>
  <c r="M57" i="1"/>
  <c r="L57" i="1"/>
  <c r="K57" i="1"/>
  <c r="I57" i="1"/>
  <c r="H57" i="1"/>
  <c r="G57" i="1"/>
  <c r="F57" i="1"/>
  <c r="N56" i="1"/>
  <c r="M56" i="1"/>
  <c r="L56" i="1"/>
  <c r="K56" i="1"/>
  <c r="I56" i="1"/>
  <c r="H56" i="1"/>
  <c r="G56" i="1"/>
  <c r="F56" i="1"/>
  <c r="R303" i="1"/>
  <c r="F47" i="1" l="1"/>
  <c r="R237" i="1"/>
  <c r="R234" i="1"/>
  <c r="Q234" i="1"/>
  <c r="P234" i="1"/>
  <c r="O234" i="1"/>
  <c r="N234" i="1"/>
  <c r="M234" i="1"/>
  <c r="L234" i="1"/>
  <c r="K234" i="1"/>
  <c r="I234" i="1"/>
  <c r="H234" i="1"/>
  <c r="G234" i="1"/>
  <c r="F234" i="1"/>
  <c r="Q108" i="1"/>
  <c r="P108" i="1"/>
  <c r="N108" i="1"/>
  <c r="M108" i="1"/>
  <c r="L108" i="1"/>
  <c r="K108" i="1"/>
  <c r="I108" i="1"/>
  <c r="H108" i="1"/>
  <c r="G108" i="1"/>
  <c r="F108" i="1"/>
  <c r="R13" i="1" l="1"/>
  <c r="Q13" i="1"/>
  <c r="P13" i="1"/>
  <c r="O13" i="1"/>
  <c r="N13" i="1"/>
  <c r="M13" i="1"/>
  <c r="L13" i="1"/>
  <c r="K13" i="1"/>
  <c r="I13" i="1"/>
  <c r="H13" i="1"/>
  <c r="G13" i="1"/>
  <c r="F13" i="1"/>
  <c r="R268" i="1" l="1"/>
  <c r="O268" i="1"/>
  <c r="N268" i="1"/>
  <c r="M268" i="1"/>
  <c r="L268" i="1"/>
  <c r="K268" i="1"/>
  <c r="I268" i="1"/>
  <c r="H268" i="1"/>
  <c r="F268" i="1"/>
  <c r="D123" i="1" l="1"/>
  <c r="R79" i="1" l="1"/>
  <c r="R76" i="1"/>
  <c r="P76" i="1"/>
  <c r="O76" i="1"/>
  <c r="N76" i="1"/>
  <c r="M76" i="1"/>
  <c r="L76" i="1"/>
  <c r="K76" i="1"/>
  <c r="I76" i="1"/>
  <c r="H76" i="1"/>
  <c r="G76" i="1"/>
  <c r="F76" i="1"/>
  <c r="D28" i="1" l="1"/>
  <c r="R22" i="1" l="1"/>
  <c r="Q22" i="1"/>
  <c r="P22" i="1"/>
  <c r="N22" i="1"/>
  <c r="M22" i="1"/>
  <c r="K22" i="1"/>
  <c r="I22" i="1"/>
  <c r="H22" i="1"/>
  <c r="G22" i="1"/>
  <c r="F22" i="1"/>
  <c r="R312" i="1" l="1"/>
  <c r="Q312" i="1"/>
  <c r="P312" i="1"/>
  <c r="O312" i="1"/>
  <c r="N312" i="1"/>
  <c r="M312" i="1"/>
  <c r="L312" i="1"/>
  <c r="K312" i="1"/>
  <c r="I312" i="1"/>
  <c r="H312" i="1"/>
  <c r="G312" i="1"/>
  <c r="F312" i="1"/>
  <c r="R300" i="1"/>
  <c r="P300" i="1"/>
  <c r="O300" i="1"/>
  <c r="N300" i="1"/>
  <c r="M300" i="1"/>
  <c r="L300" i="1"/>
  <c r="K300" i="1"/>
  <c r="I300" i="1"/>
  <c r="H300" i="1"/>
  <c r="G300" i="1"/>
  <c r="F300" i="1"/>
  <c r="R244" i="1" l="1"/>
  <c r="N244" i="1"/>
  <c r="L244" i="1"/>
  <c r="K244" i="1"/>
  <c r="I244" i="1"/>
  <c r="H244" i="1"/>
  <c r="G244" i="1"/>
  <c r="F244" i="1"/>
  <c r="D218" i="1"/>
  <c r="D207" i="1"/>
  <c r="R203" i="1" l="1"/>
  <c r="P203" i="1"/>
  <c r="O203" i="1"/>
  <c r="N203" i="1"/>
  <c r="M203" i="1"/>
  <c r="L203" i="1"/>
  <c r="K203" i="1"/>
  <c r="I203" i="1"/>
  <c r="H203" i="1"/>
  <c r="G203" i="1"/>
  <c r="F203" i="1"/>
  <c r="N86" i="1" l="1"/>
  <c r="M86" i="1"/>
  <c r="L86" i="1"/>
  <c r="K86" i="1"/>
  <c r="I86" i="1"/>
  <c r="H86" i="1"/>
  <c r="G86" i="1"/>
  <c r="F86" i="1"/>
  <c r="R85" i="1"/>
  <c r="P85" i="1"/>
  <c r="N85" i="1"/>
  <c r="M85" i="1"/>
  <c r="L85" i="1"/>
  <c r="K85" i="1"/>
  <c r="I85" i="1"/>
  <c r="H85" i="1"/>
  <c r="G85" i="1"/>
  <c r="F85" i="1"/>
  <c r="R181" i="1"/>
  <c r="Q181" i="1"/>
  <c r="P181" i="1"/>
  <c r="O181" i="1"/>
  <c r="N181" i="1"/>
  <c r="M181" i="1"/>
  <c r="L181" i="1"/>
  <c r="K181" i="1"/>
  <c r="I181" i="1"/>
  <c r="H181" i="1"/>
  <c r="G181" i="1"/>
  <c r="F181" i="1"/>
  <c r="E316" i="1"/>
  <c r="D316" i="1"/>
  <c r="D155" i="1"/>
  <c r="Q111" i="1" l="1"/>
  <c r="E272" i="1"/>
  <c r="Q272" i="1"/>
  <c r="E80" i="1"/>
  <c r="J80" i="1"/>
  <c r="Q80" i="1"/>
  <c r="R272" i="1"/>
  <c r="P272" i="1"/>
  <c r="O272" i="1"/>
  <c r="N272" i="1"/>
  <c r="M272" i="1"/>
  <c r="L272" i="1"/>
  <c r="K272" i="1"/>
  <c r="I272" i="1"/>
  <c r="H272" i="1"/>
  <c r="G272" i="1"/>
  <c r="F272" i="1"/>
  <c r="R80" i="1"/>
  <c r="P80" i="1"/>
  <c r="O80" i="1"/>
  <c r="N80" i="1"/>
  <c r="M80" i="1"/>
  <c r="L80" i="1"/>
  <c r="K80" i="1"/>
  <c r="I80" i="1"/>
  <c r="H80" i="1"/>
  <c r="G80" i="1"/>
  <c r="F80" i="1"/>
  <c r="R148" i="1" l="1"/>
  <c r="N148" i="1"/>
  <c r="L148" i="1"/>
  <c r="K148" i="1"/>
  <c r="I148" i="1"/>
  <c r="H148" i="1"/>
  <c r="G148" i="1"/>
  <c r="F148" i="1"/>
  <c r="R111" i="1"/>
  <c r="P111" i="1"/>
  <c r="O111" i="1"/>
  <c r="N111" i="1"/>
  <c r="M111" i="1"/>
  <c r="L111" i="1"/>
  <c r="K111" i="1"/>
  <c r="O47" i="1" l="1"/>
  <c r="P47" i="1"/>
  <c r="Q47" i="1"/>
  <c r="R47" i="1"/>
  <c r="E47" i="1"/>
  <c r="E17" i="1" l="1"/>
  <c r="E239" i="1" l="1"/>
  <c r="E28" i="1" l="1"/>
  <c r="J28" i="1"/>
  <c r="O316" i="1" l="1"/>
  <c r="M316" i="1"/>
  <c r="R316" i="1"/>
  <c r="I316" i="1"/>
  <c r="J316" i="1"/>
  <c r="P316" i="1"/>
  <c r="Q316" i="1"/>
  <c r="E284" i="1"/>
  <c r="F284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E218" i="1"/>
  <c r="J218" i="1"/>
  <c r="Q218" i="1"/>
  <c r="J187" i="1"/>
  <c r="O187" i="1"/>
  <c r="Q187" i="1"/>
  <c r="M187" i="1"/>
  <c r="L187" i="1"/>
  <c r="E187" i="1"/>
  <c r="P155" i="1"/>
  <c r="N155" i="1"/>
  <c r="M155" i="1"/>
  <c r="L155" i="1"/>
  <c r="K155" i="1"/>
  <c r="I155" i="1"/>
  <c r="H155" i="1"/>
  <c r="G155" i="1"/>
  <c r="F155" i="1"/>
  <c r="E155" i="1"/>
  <c r="J155" i="1"/>
  <c r="O155" i="1"/>
  <c r="Q155" i="1"/>
  <c r="R155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E143" i="1"/>
  <c r="K316" i="1" l="1"/>
  <c r="G316" i="1"/>
  <c r="H316" i="1"/>
  <c r="F187" i="1"/>
  <c r="N316" i="1"/>
  <c r="I187" i="1"/>
  <c r="O218" i="1"/>
  <c r="N187" i="1"/>
  <c r="F218" i="1"/>
  <c r="L218" i="1"/>
  <c r="M218" i="1"/>
  <c r="K187" i="1"/>
  <c r="K218" i="1"/>
  <c r="R187" i="1"/>
  <c r="I218" i="1"/>
  <c r="H187" i="1"/>
  <c r="H218" i="1"/>
  <c r="R218" i="1"/>
  <c r="G187" i="1"/>
  <c r="G218" i="1"/>
  <c r="P218" i="1"/>
  <c r="P187" i="1"/>
  <c r="N218" i="1"/>
  <c r="F316" i="1"/>
  <c r="L316" i="1"/>
  <c r="R123" i="1"/>
  <c r="Q123" i="1"/>
  <c r="P123" i="1"/>
  <c r="O123" i="1"/>
  <c r="N123" i="1"/>
  <c r="M123" i="1"/>
  <c r="L123" i="1"/>
  <c r="K123" i="1"/>
  <c r="I123" i="1"/>
  <c r="H123" i="1"/>
  <c r="G123" i="1"/>
  <c r="F123" i="1"/>
  <c r="E123" i="1"/>
  <c r="J123" i="1"/>
  <c r="E91" i="1"/>
  <c r="J91" i="1"/>
  <c r="O91" i="1"/>
  <c r="R91" i="1"/>
  <c r="E59" i="1"/>
  <c r="J59" i="1"/>
  <c r="F323" i="1" l="1"/>
  <c r="F324" i="1" s="1"/>
  <c r="Q91" i="1"/>
  <c r="P91" i="1"/>
  <c r="N91" i="1"/>
  <c r="M91" i="1"/>
  <c r="L91" i="1"/>
  <c r="K91" i="1"/>
  <c r="H91" i="1"/>
  <c r="R59" i="1"/>
  <c r="Q59" i="1"/>
  <c r="P59" i="1"/>
  <c r="O59" i="1"/>
  <c r="N59" i="1"/>
  <c r="M59" i="1"/>
  <c r="L59" i="1"/>
  <c r="K59" i="1"/>
  <c r="I59" i="1"/>
  <c r="H59" i="1"/>
  <c r="G59" i="1"/>
  <c r="F59" i="1"/>
  <c r="G91" i="1" l="1"/>
  <c r="I91" i="1"/>
  <c r="F91" i="1"/>
  <c r="N26" i="1"/>
  <c r="M26" i="1"/>
  <c r="L26" i="1"/>
  <c r="K26" i="1"/>
  <c r="I26" i="1"/>
  <c r="H26" i="1"/>
  <c r="G26" i="1"/>
  <c r="F26" i="1"/>
  <c r="N25" i="1"/>
  <c r="M25" i="1"/>
  <c r="L25" i="1"/>
  <c r="K25" i="1"/>
  <c r="I25" i="1"/>
  <c r="H25" i="1"/>
  <c r="G25" i="1"/>
  <c r="F25" i="1"/>
  <c r="O28" i="1"/>
  <c r="L28" i="1" l="1"/>
  <c r="R28" i="1"/>
  <c r="Q28" i="1"/>
  <c r="P28" i="1"/>
  <c r="N28" i="1"/>
  <c r="M28" i="1"/>
  <c r="K28" i="1"/>
  <c r="I28" i="1"/>
  <c r="H28" i="1"/>
  <c r="G28" i="1"/>
  <c r="F28" i="1"/>
  <c r="F239" i="1" l="1"/>
  <c r="G239" i="1"/>
  <c r="H239" i="1"/>
  <c r="I239" i="1"/>
  <c r="J239" i="1"/>
  <c r="K239" i="1"/>
  <c r="L239" i="1"/>
  <c r="M239" i="1"/>
  <c r="N239" i="1"/>
  <c r="O239" i="1"/>
  <c r="P239" i="1"/>
  <c r="Q239" i="1"/>
  <c r="R239" i="1"/>
  <c r="F207" i="1" l="1"/>
  <c r="G207" i="1"/>
  <c r="H207" i="1"/>
  <c r="I207" i="1"/>
  <c r="J207" i="1"/>
  <c r="K207" i="1"/>
  <c r="L207" i="1"/>
  <c r="M207" i="1"/>
  <c r="N207" i="1"/>
  <c r="O207" i="1"/>
  <c r="P207" i="1"/>
  <c r="Q207" i="1"/>
  <c r="R207" i="1"/>
  <c r="E207" i="1"/>
  <c r="J92" i="1" l="1"/>
  <c r="J219" i="1"/>
  <c r="J285" i="1"/>
  <c r="J317" i="1"/>
  <c r="R305" i="1"/>
  <c r="Q305" i="1"/>
  <c r="P305" i="1"/>
  <c r="O305" i="1"/>
  <c r="N305" i="1"/>
  <c r="M305" i="1"/>
  <c r="L305" i="1"/>
  <c r="K305" i="1"/>
  <c r="I305" i="1"/>
  <c r="H305" i="1"/>
  <c r="G305" i="1"/>
  <c r="F305" i="1"/>
  <c r="E305" i="1"/>
  <c r="O92" i="1"/>
  <c r="R317" i="1" l="1"/>
  <c r="Q317" i="1"/>
  <c r="P317" i="1"/>
  <c r="O317" i="1"/>
  <c r="N317" i="1"/>
  <c r="M317" i="1"/>
  <c r="L317" i="1"/>
  <c r="K317" i="1"/>
  <c r="R285" i="1" l="1"/>
  <c r="P285" i="1"/>
  <c r="Q285" i="1"/>
  <c r="O285" i="1"/>
  <c r="N285" i="1"/>
  <c r="M285" i="1"/>
  <c r="L285" i="1"/>
  <c r="K285" i="1"/>
  <c r="R219" i="1" l="1"/>
  <c r="Q219" i="1"/>
  <c r="P219" i="1"/>
  <c r="O219" i="1"/>
  <c r="N219" i="1"/>
  <c r="M219" i="1"/>
  <c r="L219" i="1"/>
  <c r="K219" i="1"/>
  <c r="E92" i="1" l="1"/>
  <c r="Q252" i="1" l="1"/>
  <c r="P252" i="1"/>
  <c r="M252" i="1"/>
  <c r="L252" i="1"/>
  <c r="K252" i="1"/>
  <c r="R252" i="1"/>
  <c r="O252" i="1"/>
  <c r="R176" i="1"/>
  <c r="Q176" i="1"/>
  <c r="P176" i="1"/>
  <c r="O176" i="1"/>
  <c r="N176" i="1"/>
  <c r="N188" i="1" s="1"/>
  <c r="M176" i="1"/>
  <c r="L176" i="1"/>
  <c r="K176" i="1"/>
  <c r="K188" i="1" s="1"/>
  <c r="Q156" i="1"/>
  <c r="R92" i="1"/>
  <c r="Q92" i="1"/>
  <c r="P92" i="1"/>
  <c r="N92" i="1"/>
  <c r="M92" i="1"/>
  <c r="L92" i="1"/>
  <c r="K92" i="1"/>
  <c r="R17" i="1"/>
  <c r="Q17" i="1"/>
  <c r="P17" i="1"/>
  <c r="O17" i="1"/>
  <c r="O29" i="1" s="1"/>
  <c r="N17" i="1"/>
  <c r="N29" i="1" s="1"/>
  <c r="M17" i="1"/>
  <c r="M29" i="1" s="1"/>
  <c r="L17" i="1"/>
  <c r="K17" i="1"/>
  <c r="K29" i="1" s="1"/>
  <c r="Q188" i="1" l="1"/>
  <c r="O188" i="1"/>
  <c r="P156" i="1"/>
  <c r="R124" i="1"/>
  <c r="L188" i="1"/>
  <c r="R156" i="1"/>
  <c r="M188" i="1"/>
  <c r="R188" i="1"/>
  <c r="O156" i="1"/>
  <c r="N156" i="1"/>
  <c r="M156" i="1"/>
  <c r="L156" i="1"/>
  <c r="Q124" i="1"/>
  <c r="P124" i="1"/>
  <c r="N124" i="1"/>
  <c r="L124" i="1"/>
  <c r="K124" i="1"/>
  <c r="M124" i="1"/>
  <c r="O124" i="1"/>
  <c r="L29" i="1"/>
  <c r="P188" i="1"/>
  <c r="P29" i="1"/>
  <c r="K156" i="1"/>
  <c r="R29" i="1"/>
  <c r="N252" i="1"/>
  <c r="Q29" i="1"/>
  <c r="K60" i="1"/>
  <c r="M60" i="1"/>
  <c r="O60" i="1"/>
  <c r="Q60" i="1"/>
  <c r="L60" i="1"/>
  <c r="N60" i="1"/>
  <c r="P60" i="1"/>
  <c r="R60" i="1"/>
  <c r="I317" i="1"/>
  <c r="H317" i="1"/>
  <c r="G317" i="1"/>
  <c r="F317" i="1"/>
  <c r="E317" i="1"/>
  <c r="I285" i="1" l="1"/>
  <c r="H285" i="1"/>
  <c r="G285" i="1"/>
  <c r="F285" i="1"/>
  <c r="E285" i="1"/>
  <c r="I252" i="1" l="1"/>
  <c r="H252" i="1"/>
  <c r="G252" i="1"/>
  <c r="F252" i="1"/>
  <c r="E252" i="1"/>
  <c r="I219" i="1" l="1"/>
  <c r="H219" i="1"/>
  <c r="G219" i="1"/>
  <c r="F219" i="1"/>
  <c r="E219" i="1"/>
  <c r="I176" i="1" l="1"/>
  <c r="I188" i="1" s="1"/>
  <c r="H176" i="1"/>
  <c r="H188" i="1" s="1"/>
  <c r="G176" i="1"/>
  <c r="G188" i="1" s="1"/>
  <c r="F176" i="1"/>
  <c r="F188" i="1" s="1"/>
  <c r="E176" i="1"/>
  <c r="E188" i="1" l="1"/>
  <c r="I156" i="1" l="1"/>
  <c r="H156" i="1"/>
  <c r="G156" i="1"/>
  <c r="F156" i="1"/>
  <c r="E156" i="1"/>
  <c r="I111" i="1" l="1"/>
  <c r="I124" i="1" s="1"/>
  <c r="H111" i="1"/>
  <c r="H124" i="1" s="1"/>
  <c r="G111" i="1"/>
  <c r="G124" i="1" s="1"/>
  <c r="F111" i="1"/>
  <c r="F124" i="1" s="1"/>
  <c r="E111" i="1"/>
  <c r="E321" i="1" l="1"/>
  <c r="E322" i="1" s="1"/>
  <c r="E124" i="1"/>
  <c r="I92" i="1"/>
  <c r="H92" i="1"/>
  <c r="G92" i="1"/>
  <c r="F92" i="1"/>
  <c r="I17" i="1" l="1"/>
  <c r="I29" i="1" s="1"/>
  <c r="H17" i="1"/>
  <c r="G17" i="1"/>
  <c r="F17" i="1"/>
  <c r="I60" i="1" l="1"/>
  <c r="H60" i="1"/>
  <c r="G60" i="1"/>
  <c r="E60" i="1"/>
  <c r="F60" i="1"/>
  <c r="H29" i="1" l="1"/>
  <c r="G29" i="1"/>
  <c r="F29" i="1"/>
  <c r="E29" i="1" l="1"/>
</calcChain>
</file>

<file path=xl/sharedStrings.xml><?xml version="1.0" encoding="utf-8"?>
<sst xmlns="http://schemas.openxmlformats.org/spreadsheetml/2006/main" count="813" uniqueCount="131">
  <si>
    <t>№</t>
  </si>
  <si>
    <t>Выход</t>
  </si>
  <si>
    <t>Стоимость</t>
  </si>
  <si>
    <t>Калории</t>
  </si>
  <si>
    <t>ЗАВТРАК</t>
  </si>
  <si>
    <t>МЕНЮ</t>
  </si>
  <si>
    <t>для школьных столовых</t>
  </si>
  <si>
    <t>1.</t>
  </si>
  <si>
    <t>2.</t>
  </si>
  <si>
    <t>3.</t>
  </si>
  <si>
    <t>Какао с молоком</t>
  </si>
  <si>
    <t>Всего</t>
  </si>
  <si>
    <t>ОБЕД</t>
  </si>
  <si>
    <t>4.</t>
  </si>
  <si>
    <t>5.</t>
  </si>
  <si>
    <t>6.</t>
  </si>
  <si>
    <t>Чай с сахаром</t>
  </si>
  <si>
    <t>ИТОГО:</t>
  </si>
  <si>
    <t>Кофейный напиток с молоком</t>
  </si>
  <si>
    <t>Щи из свежей капусты с картофелем со сметаной.</t>
  </si>
  <si>
    <t xml:space="preserve"> Суп картофельный с мясными фрикадельками.</t>
  </si>
  <si>
    <t xml:space="preserve"> Суп картофельный с клецками</t>
  </si>
  <si>
    <t>Шницель из говядины</t>
  </si>
  <si>
    <t xml:space="preserve"> Капуста тушеная</t>
  </si>
  <si>
    <t>Биточки из говядины</t>
  </si>
  <si>
    <t>Печенье</t>
  </si>
  <si>
    <t>№ рец.</t>
  </si>
  <si>
    <t>Са</t>
  </si>
  <si>
    <t>Mg</t>
  </si>
  <si>
    <t>P</t>
  </si>
  <si>
    <t>Fe</t>
  </si>
  <si>
    <t>А</t>
  </si>
  <si>
    <t>В</t>
  </si>
  <si>
    <t>РР</t>
  </si>
  <si>
    <t>С</t>
  </si>
  <si>
    <t>Наименование блюд</t>
  </si>
  <si>
    <t>День 1</t>
  </si>
  <si>
    <t xml:space="preserve">          "Согласовано"</t>
  </si>
  <si>
    <t>День 2</t>
  </si>
  <si>
    <t>Омлет натуральный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</si>
  <si>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</si>
  <si>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</si>
  <si>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</si>
  <si>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</si>
  <si>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</si>
  <si>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</si>
  <si>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</si>
  <si>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 xml:space="preserve"> Суп картофельный с  рисовой крупой</t>
  </si>
  <si>
    <t>Директор   школы    МОУ СОШ №</t>
  </si>
  <si>
    <t xml:space="preserve">Компот из сухофруктов </t>
  </si>
  <si>
    <t>Котлеты рыбные с маслом сливочным</t>
  </si>
  <si>
    <t>Напиток апельсиновый</t>
  </si>
  <si>
    <t xml:space="preserve">Оладьи из говяжьей печени </t>
  </si>
  <si>
    <t>Батон в/с</t>
  </si>
  <si>
    <t>Напиток  "Витошка"</t>
  </si>
  <si>
    <t>Белки          ( г )</t>
  </si>
  <si>
    <t>Жиры           ( г )</t>
  </si>
  <si>
    <t>Углеводы   ( г )</t>
  </si>
  <si>
    <t xml:space="preserve">   Минеральные вещества  ( мг )</t>
  </si>
  <si>
    <t>Витамины  ( мг )</t>
  </si>
  <si>
    <t xml:space="preserve"> Рассольник ленинградский</t>
  </si>
  <si>
    <t>А, мкг</t>
  </si>
  <si>
    <t>Хлеб пшеничный 1с.</t>
  </si>
  <si>
    <t>В1</t>
  </si>
  <si>
    <t>7.</t>
  </si>
  <si>
    <t>Выход,г</t>
  </si>
  <si>
    <t>Выход, г</t>
  </si>
  <si>
    <t>День 3</t>
  </si>
  <si>
    <t>Котлеты рубленные из кур, запеченные с соусом сметанным</t>
  </si>
  <si>
    <t>Овощи натуральные свежие (помидоры)</t>
  </si>
  <si>
    <t>Овощи натуральные свежие (огурцы)</t>
  </si>
  <si>
    <t>Салат из свеклы отварной</t>
  </si>
  <si>
    <t>250/10</t>
  </si>
  <si>
    <t>8.</t>
  </si>
  <si>
    <t>Ряженка</t>
  </si>
  <si>
    <t>Снежок</t>
  </si>
  <si>
    <t>Хлеб ржаной</t>
  </si>
  <si>
    <t>Норма</t>
  </si>
  <si>
    <t>Итого</t>
  </si>
  <si>
    <t>45-54</t>
  </si>
  <si>
    <t>46-55,2</t>
  </si>
  <si>
    <t>191,5-229,8</t>
  </si>
  <si>
    <t>1360-1632</t>
  </si>
  <si>
    <t>Макаронные изделия отварные с маслом</t>
  </si>
  <si>
    <t>Каша вязкая молочная из риса и пшена  с маслом сливочным</t>
  </si>
  <si>
    <t>Сыр    (порциями)</t>
  </si>
  <si>
    <t xml:space="preserve"> Каша  жидкая молочная из манной крупы с маслом сливочным</t>
  </si>
  <si>
    <t>100/5</t>
  </si>
  <si>
    <t>Каша вязкая молочная  геркулесовая с маслом сливочным</t>
  </si>
  <si>
    <t>250/35</t>
  </si>
  <si>
    <t>Рагу из курицы</t>
  </si>
  <si>
    <t>294/330</t>
  </si>
  <si>
    <t>( 12 лет и старше )</t>
  </si>
  <si>
    <t>Гуляш из говядины</t>
  </si>
  <si>
    <t>100/30</t>
  </si>
  <si>
    <t>Рыба (морская), тушенная в томате с овощами</t>
  </si>
  <si>
    <t>Завтрак</t>
  </si>
  <si>
    <t>Средняя стоим. 1 дня</t>
  </si>
  <si>
    <t>Обед</t>
  </si>
  <si>
    <t xml:space="preserve"> Суп картофельный с бобовыми     (горох)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</si>
  <si>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</si>
  <si>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</t>
    </r>
    <r>
      <rPr>
        <sz val="9"/>
        <color theme="1"/>
        <rFont val="Calibri"/>
        <family val="2"/>
        <charset val="204"/>
        <scheme val="minor"/>
      </rPr>
      <t xml:space="preserve">  /</t>
    </r>
  </si>
  <si>
    <t xml:space="preserve">                                                                                                                                                                                                                           "Утверждаю"</t>
  </si>
  <si>
    <t xml:space="preserve">                                       " Утверждаю "</t>
  </si>
  <si>
    <t xml:space="preserve">Борщ из свежей капусты с картофелем  со сметаной </t>
  </si>
  <si>
    <r>
      <t xml:space="preserve">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</t>
    </r>
    <r>
      <rPr>
        <sz val="10"/>
        <color theme="1"/>
        <rFont val="Calibri"/>
        <family val="2"/>
        <charset val="204"/>
        <scheme val="minor"/>
      </rPr>
      <t xml:space="preserve"> /</t>
    </r>
    <r>
      <rPr>
        <u/>
        <sz val="10"/>
        <color theme="1"/>
        <rFont val="Calibri"/>
        <family val="2"/>
        <charset val="204"/>
        <scheme val="minor"/>
      </rPr>
      <t xml:space="preserve"> Е.С. Сидельникова </t>
    </r>
    <r>
      <rPr>
        <sz val="10"/>
        <color theme="1"/>
        <rFont val="Calibri"/>
        <family val="2"/>
        <charset val="204"/>
        <scheme val="minor"/>
      </rPr>
      <t>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</si>
  <si>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</si>
  <si>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Жаркое по-домашнему</t>
  </si>
  <si>
    <t xml:space="preserve"> Плов из курицы</t>
  </si>
  <si>
    <t>Сок фруктовый в ассортименте</t>
  </si>
  <si>
    <t>Пюре картофельное</t>
  </si>
  <si>
    <t xml:space="preserve">Директор  ООО "Общепит-Н"  </t>
  </si>
  <si>
    <t>Сырники из творога с  молоком сгущенным</t>
  </si>
  <si>
    <t>200/20</t>
  </si>
  <si>
    <t>Масло сливочное</t>
  </si>
  <si>
    <t>Чай с сахаром с лимоном</t>
  </si>
  <si>
    <t>200/7</t>
  </si>
  <si>
    <t>Фрукт свежий, сезонный</t>
  </si>
  <si>
    <t>Яйцо вареное</t>
  </si>
  <si>
    <t>Каша вязкая молочная из риса с маслом сливочным</t>
  </si>
  <si>
    <t>Каша гречневая с молоком с сахаром</t>
  </si>
  <si>
    <t xml:space="preserve"> Каша гречневая рассыпчатая</t>
  </si>
  <si>
    <t>309/331</t>
  </si>
  <si>
    <t>Макаронные изделия отварные с  соусом сметанным с томатом</t>
  </si>
  <si>
    <t>180/30</t>
  </si>
  <si>
    <t>Пряник</t>
  </si>
  <si>
    <t xml:space="preserve">Фрукт свежий, сезонный  </t>
  </si>
  <si>
    <t>Каша  жидкая молочная из манной крупы с маслом сливочным</t>
  </si>
  <si>
    <t xml:space="preserve">                      "___"____________  2025г</t>
  </si>
  <si>
    <t>Суп картофельный с макаронными изделиями                                                      ( вермишель )</t>
  </si>
  <si>
    <t>"01"  марта 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</si>
</sst>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5" fillId="0" borderId="0" xfId="0" applyFont="1"/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/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0" xfId="0" applyFont="1"/>
    <xf numFmtId="0" fontId="10" fillId="2" borderId="1" xfId="0" applyFont="1" applyFill="1" applyBorder="1" applyAlignment="1">
      <alignment horizontal="center"/>
    </xf>
    <xf numFmtId="2" fontId="2" fillId="0" borderId="1" xfId="0" applyNumberFormat="1" applyFont="1" applyBorder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2" fontId="2" fillId="0" borderId="0" xfId="0" applyNumberFormat="1" applyFont="1" applyBorder="1"/>
    <xf numFmtId="2" fontId="0" fillId="0" borderId="1" xfId="0" applyNumberFormat="1" applyBorder="1" applyAlignment="1">
      <alignment horizontal="center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center"/>
    </xf>
    <xf numFmtId="0" fontId="2" fillId="0" borderId="1" xfId="0" applyFont="1" applyBorder="1" applyAlignment="1"/>
    <xf numFmtId="2" fontId="1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 wrapText="1"/>
    </xf>
    <xf numFmtId="2" fontId="2" fillId="2" borderId="1" xfId="0" applyNumberFormat="1" applyFont="1" applyFill="1" applyBorder="1"/>
    <xf numFmtId="2" fontId="2" fillId="0" borderId="1" xfId="0" applyNumberFormat="1" applyFont="1" applyBorder="1" applyAlignment="1"/>
    <xf numFmtId="2" fontId="0" fillId="0" borderId="1" xfId="0" applyNumberFormat="1" applyBorder="1"/>
    <xf numFmtId="2" fontId="11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/>
    <xf numFmtId="0" fontId="0" fillId="0" borderId="1" xfId="0" applyBorder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10" fillId="0" borderId="1" xfId="0" applyFont="1" applyBorder="1" applyAlignment="1"/>
    <xf numFmtId="0" fontId="8" fillId="2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0" xfId="0" applyFont="1" applyAlignment="1">
      <alignment horizontal="left" vertical="distributed"/>
    </xf>
    <xf numFmtId="0" fontId="2" fillId="0" borderId="0" xfId="0" applyFont="1" applyAlignment="1">
      <alignment horizontal="left" vertical="distributed"/>
    </xf>
    <xf numFmtId="49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distributed"/>
    </xf>
    <xf numFmtId="0" fontId="3" fillId="0" borderId="0" xfId="0" applyFont="1" applyAlignment="1">
      <alignment horizontal="center" vertical="distributed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 vertical="distributed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center" vertical="distributed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3" fillId="0" borderId="0" xfId="0" applyFont="1" applyAlignment="1">
      <alignment horizontal="center" vertical="distributed"/>
    </xf>
    <xf numFmtId="0" fontId="3" fillId="2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476249</xdr:colOff>
      <xdr:row>31</xdr:row>
      <xdr:rowOff>138545</xdr:rowOff>
    </xdr:to>
    <xdr:pic>
      <xdr:nvPicPr>
        <xdr:cNvPr id="3" name="Рисунок 2" descr="C:\Users\User\Downloads\2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42022" cy="6961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1"/>
  <sheetViews>
    <sheetView tabSelected="1" view="pageBreakPreview" topLeftCell="A16" zoomScale="110" zoomScaleNormal="100" zoomScaleSheetLayoutView="110" workbookViewId="0">
      <selection activeCell="A30" sqref="A30"/>
    </sheetView>
  </sheetViews>
  <sheetFormatPr defaultRowHeight="15" x14ac:dyDescent="0.25"/>
  <cols>
    <col min="1" max="1" width="4.85546875" customWidth="1"/>
    <col min="2" max="2" width="4.42578125" customWidth="1"/>
    <col min="3" max="3" width="44.5703125" customWidth="1"/>
    <col min="4" max="4" width="7.85546875" customWidth="1"/>
    <col min="5" max="5" width="8.85546875" customWidth="1"/>
    <col min="6" max="6" width="9" customWidth="1"/>
    <col min="7" max="7" width="7.42578125" customWidth="1"/>
    <col min="8" max="8" width="9.7109375" customWidth="1"/>
    <col min="9" max="9" width="8.7109375" customWidth="1"/>
    <col min="10" max="10" width="0.7109375" hidden="1" customWidth="1"/>
    <col min="11" max="11" width="7.140625" customWidth="1"/>
    <col min="12" max="12" width="7" customWidth="1"/>
    <col min="13" max="13" width="7.42578125" customWidth="1"/>
    <col min="14" max="14" width="6.85546875" customWidth="1"/>
    <col min="15" max="15" width="6.28515625" customWidth="1"/>
    <col min="16" max="16" width="6.42578125" customWidth="1"/>
    <col min="17" max="17" width="6" customWidth="1"/>
    <col min="18" max="18" width="7.42578125" customWidth="1"/>
    <col min="20" max="20" width="15.42578125" customWidth="1"/>
    <col min="34" max="34" width="5.140625" customWidth="1"/>
  </cols>
  <sheetData>
    <row r="1" spans="1:18" ht="20.25" customHeight="1" x14ac:dyDescent="0.25">
      <c r="A1" s="121" t="s">
        <v>37</v>
      </c>
      <c r="B1" s="121"/>
      <c r="C1" s="121"/>
      <c r="D1" s="127" t="s">
        <v>102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1:18" ht="15" customHeight="1" x14ac:dyDescent="0.25">
      <c r="A2" s="122" t="s">
        <v>48</v>
      </c>
      <c r="B2" s="122"/>
      <c r="C2" s="122"/>
      <c r="D2" s="126"/>
      <c r="E2" s="126"/>
      <c r="F2" s="126"/>
      <c r="G2" s="126"/>
      <c r="H2" s="126"/>
      <c r="I2" s="126"/>
      <c r="J2" s="10"/>
      <c r="K2" s="128" t="s">
        <v>111</v>
      </c>
      <c r="L2" s="128"/>
      <c r="M2" s="128"/>
      <c r="N2" s="128"/>
      <c r="O2" s="128"/>
      <c r="P2" s="128"/>
      <c r="Q2" s="128"/>
      <c r="R2" s="128"/>
    </row>
    <row r="3" spans="1:18" ht="15" hidden="1" customHeight="1" x14ac:dyDescent="0.25">
      <c r="A3" s="9"/>
      <c r="B3" s="9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  <c r="O3" s="11"/>
      <c r="P3" s="11"/>
      <c r="Q3" s="11"/>
      <c r="R3" s="11"/>
    </row>
    <row r="4" spans="1:18" ht="15" customHeight="1" x14ac:dyDescent="0.25">
      <c r="A4" s="123" t="s">
        <v>101</v>
      </c>
      <c r="B4" s="123"/>
      <c r="C4" s="123"/>
      <c r="D4" s="129" t="s">
        <v>105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</row>
    <row r="5" spans="1:18" ht="15" customHeight="1" x14ac:dyDescent="0.25">
      <c r="A5" s="124" t="s">
        <v>128</v>
      </c>
      <c r="B5" s="124"/>
      <c r="C5" s="124"/>
      <c r="D5" s="125"/>
      <c r="E5" s="125"/>
      <c r="F5" s="125"/>
      <c r="G5" s="130" t="s">
        <v>130</v>
      </c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</row>
    <row r="6" spans="1:18" ht="21" customHeight="1" x14ac:dyDescent="0.25">
      <c r="A6" s="131" t="s">
        <v>5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</row>
    <row r="7" spans="1:18" ht="16.5" customHeight="1" x14ac:dyDescent="0.25">
      <c r="A7" s="135" t="s">
        <v>6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</row>
    <row r="8" spans="1:18" ht="15" customHeight="1" x14ac:dyDescent="0.25">
      <c r="A8" s="116" t="s">
        <v>92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</row>
    <row r="9" spans="1:18" ht="18" customHeight="1" x14ac:dyDescent="0.25">
      <c r="A9" s="132" t="s">
        <v>36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4"/>
    </row>
    <row r="10" spans="1:18" ht="18" customHeight="1" x14ac:dyDescent="0.25">
      <c r="A10" s="94" t="s">
        <v>4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</row>
    <row r="11" spans="1:18" ht="18" customHeight="1" x14ac:dyDescent="0.25">
      <c r="A11" s="93" t="s">
        <v>26</v>
      </c>
      <c r="B11" s="92" t="s">
        <v>0</v>
      </c>
      <c r="C11" s="93" t="s">
        <v>35</v>
      </c>
      <c r="D11" s="136" t="s">
        <v>65</v>
      </c>
      <c r="E11" s="92" t="s">
        <v>2</v>
      </c>
      <c r="F11" s="95" t="s">
        <v>55</v>
      </c>
      <c r="G11" s="95" t="s">
        <v>56</v>
      </c>
      <c r="H11" s="95" t="s">
        <v>57</v>
      </c>
      <c r="I11" s="92" t="s">
        <v>3</v>
      </c>
      <c r="J11" s="14"/>
      <c r="K11" s="7" t="s">
        <v>58</v>
      </c>
      <c r="L11" s="7"/>
      <c r="M11" s="7"/>
      <c r="N11" s="7"/>
      <c r="O11" s="92" t="s">
        <v>59</v>
      </c>
      <c r="P11" s="92"/>
      <c r="Q11" s="92"/>
      <c r="R11" s="92"/>
    </row>
    <row r="12" spans="1:18" ht="15" customHeight="1" x14ac:dyDescent="0.25">
      <c r="A12" s="93"/>
      <c r="B12" s="92"/>
      <c r="C12" s="93"/>
      <c r="D12" s="136"/>
      <c r="E12" s="92"/>
      <c r="F12" s="96"/>
      <c r="G12" s="96"/>
      <c r="H12" s="96"/>
      <c r="I12" s="92"/>
      <c r="J12" s="14"/>
      <c r="K12" s="28" t="s">
        <v>27</v>
      </c>
      <c r="L12" s="23" t="s">
        <v>28</v>
      </c>
      <c r="M12" s="23" t="s">
        <v>29</v>
      </c>
      <c r="N12" s="23" t="s">
        <v>30</v>
      </c>
      <c r="O12" s="30" t="s">
        <v>31</v>
      </c>
      <c r="P12" s="23" t="s">
        <v>63</v>
      </c>
      <c r="Q12" s="23" t="s">
        <v>33</v>
      </c>
      <c r="R12" s="23" t="s">
        <v>34</v>
      </c>
    </row>
    <row r="13" spans="1:18" ht="28.5" customHeight="1" x14ac:dyDescent="0.25">
      <c r="A13" s="24">
        <v>175</v>
      </c>
      <c r="B13" s="24" t="s">
        <v>7</v>
      </c>
      <c r="C13" s="88" t="s">
        <v>84</v>
      </c>
      <c r="D13" s="42" t="s">
        <v>72</v>
      </c>
      <c r="E13" s="43">
        <v>34.83</v>
      </c>
      <c r="F13" s="43">
        <f>5.8*250/210</f>
        <v>6.9047619047619051</v>
      </c>
      <c r="G13" s="43">
        <f>10.67*250/210</f>
        <v>12.702380952380953</v>
      </c>
      <c r="H13" s="43">
        <f>41.48*250/210</f>
        <v>49.38095238095238</v>
      </c>
      <c r="I13" s="43">
        <f>286.36*250/210</f>
        <v>340.90476190476193</v>
      </c>
      <c r="J13" s="42">
        <v>195</v>
      </c>
      <c r="K13" s="43">
        <f>127.7*250/210</f>
        <v>152.02380952380952</v>
      </c>
      <c r="L13" s="43">
        <f>35.53*250/210</f>
        <v>42.297619047619051</v>
      </c>
      <c r="M13" s="43">
        <f>149.6*250/210</f>
        <v>178.0952380952381</v>
      </c>
      <c r="N13" s="43">
        <f>0.8*250/210</f>
        <v>0.95238095238095233</v>
      </c>
      <c r="O13" s="43">
        <f>52.31*250/210</f>
        <v>62.273809523809526</v>
      </c>
      <c r="P13" s="43">
        <f>0.1*250/210</f>
        <v>0.11904761904761904</v>
      </c>
      <c r="Q13" s="43">
        <f>0.55*250/210</f>
        <v>0.65476190476190477</v>
      </c>
      <c r="R13" s="33">
        <f>0.92*250/210</f>
        <v>1.0952380952380953</v>
      </c>
    </row>
    <row r="14" spans="1:18" ht="18" customHeight="1" x14ac:dyDescent="0.25">
      <c r="A14" s="1"/>
      <c r="B14" s="1" t="s">
        <v>8</v>
      </c>
      <c r="C14" s="5" t="s">
        <v>62</v>
      </c>
      <c r="D14" s="1">
        <v>50</v>
      </c>
      <c r="E14" s="2">
        <v>4.17</v>
      </c>
      <c r="F14" s="2">
        <v>3.95</v>
      </c>
      <c r="G14" s="2">
        <v>0.5</v>
      </c>
      <c r="H14" s="2">
        <v>24.15</v>
      </c>
      <c r="I14" s="2">
        <v>116.9</v>
      </c>
      <c r="J14" s="25"/>
      <c r="K14" s="2">
        <v>11.5</v>
      </c>
      <c r="L14" s="2">
        <v>16.5</v>
      </c>
      <c r="M14" s="2">
        <v>43.5</v>
      </c>
      <c r="N14" s="2">
        <v>0.55000000000000004</v>
      </c>
      <c r="O14" s="1">
        <v>0</v>
      </c>
      <c r="P14" s="66">
        <v>0</v>
      </c>
      <c r="Q14" s="67">
        <v>0</v>
      </c>
      <c r="R14" s="67">
        <v>0</v>
      </c>
    </row>
    <row r="15" spans="1:18" ht="18" customHeight="1" x14ac:dyDescent="0.25">
      <c r="A15" s="1"/>
      <c r="B15" s="1" t="s">
        <v>9</v>
      </c>
      <c r="C15" s="25" t="s">
        <v>25</v>
      </c>
      <c r="D15" s="1">
        <v>45</v>
      </c>
      <c r="E15" s="2">
        <v>11.7</v>
      </c>
      <c r="F15" s="2">
        <v>7.1</v>
      </c>
      <c r="G15" s="2">
        <v>8.1</v>
      </c>
      <c r="H15" s="2">
        <v>30.15</v>
      </c>
      <c r="I15" s="2">
        <v>208.35</v>
      </c>
      <c r="J15" s="25"/>
      <c r="K15" s="2">
        <v>10.35</v>
      </c>
      <c r="L15" s="2">
        <v>4.5</v>
      </c>
      <c r="M15" s="2">
        <v>29.25</v>
      </c>
      <c r="N15" s="2">
        <v>1.89</v>
      </c>
      <c r="O15" s="1">
        <v>0</v>
      </c>
      <c r="P15" s="2">
        <v>0.16</v>
      </c>
      <c r="Q15" s="67">
        <v>0</v>
      </c>
      <c r="R15" s="67">
        <v>0</v>
      </c>
    </row>
    <row r="16" spans="1:18" ht="18" customHeight="1" x14ac:dyDescent="0.25">
      <c r="A16" s="1">
        <v>376</v>
      </c>
      <c r="B16" s="1" t="s">
        <v>13</v>
      </c>
      <c r="C16" s="25" t="s">
        <v>16</v>
      </c>
      <c r="D16" s="1">
        <v>200</v>
      </c>
      <c r="E16" s="2">
        <v>1.9</v>
      </c>
      <c r="F16" s="2">
        <v>0.1</v>
      </c>
      <c r="G16" s="1">
        <v>0</v>
      </c>
      <c r="H16" s="2">
        <v>15</v>
      </c>
      <c r="I16" s="2">
        <v>60</v>
      </c>
      <c r="J16" s="25"/>
      <c r="K16" s="2">
        <v>5</v>
      </c>
      <c r="L16" s="66">
        <v>0</v>
      </c>
      <c r="M16" s="66">
        <v>0</v>
      </c>
      <c r="N16" s="2">
        <v>2</v>
      </c>
      <c r="O16" s="66">
        <v>0</v>
      </c>
      <c r="P16" s="66">
        <v>0</v>
      </c>
      <c r="Q16" s="2">
        <v>0.1</v>
      </c>
      <c r="R16" s="2">
        <v>1.1000000000000001</v>
      </c>
    </row>
    <row r="17" spans="1:18" x14ac:dyDescent="0.25">
      <c r="A17" s="97" t="s">
        <v>11</v>
      </c>
      <c r="B17" s="97"/>
      <c r="C17" s="97"/>
      <c r="D17" s="36">
        <v>555</v>
      </c>
      <c r="E17" s="37">
        <f>SUM(E13:E16)</f>
        <v>52.6</v>
      </c>
      <c r="F17" s="37">
        <f>SUM(F13:F16)</f>
        <v>18.054761904761904</v>
      </c>
      <c r="G17" s="37">
        <f>SUM(G13:G16)</f>
        <v>21.30238095238095</v>
      </c>
      <c r="H17" s="37">
        <f>SUM(H13:H16)</f>
        <v>118.68095238095239</v>
      </c>
      <c r="I17" s="37">
        <f>SUM(I13:I16)</f>
        <v>726.15476190476193</v>
      </c>
      <c r="J17" s="38"/>
      <c r="K17" s="37">
        <f t="shared" ref="K17:R17" si="0">SUM(K13:K16)</f>
        <v>178.87380952380951</v>
      </c>
      <c r="L17" s="37">
        <f t="shared" si="0"/>
        <v>63.297619047619051</v>
      </c>
      <c r="M17" s="37">
        <f t="shared" si="0"/>
        <v>250.8452380952381</v>
      </c>
      <c r="N17" s="37">
        <f t="shared" si="0"/>
        <v>5.3923809523809521</v>
      </c>
      <c r="O17" s="37">
        <f t="shared" si="0"/>
        <v>62.273809523809526</v>
      </c>
      <c r="P17" s="37">
        <f t="shared" si="0"/>
        <v>0.27904761904761904</v>
      </c>
      <c r="Q17" s="37">
        <f t="shared" si="0"/>
        <v>0.75476190476190474</v>
      </c>
      <c r="R17" s="37">
        <f t="shared" si="0"/>
        <v>2.1952380952380954</v>
      </c>
    </row>
    <row r="18" spans="1:18" ht="18" customHeight="1" x14ac:dyDescent="0.25">
      <c r="A18" s="94" t="s">
        <v>12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</row>
    <row r="19" spans="1:18" ht="18" customHeight="1" x14ac:dyDescent="0.25">
      <c r="A19" s="93" t="s">
        <v>26</v>
      </c>
      <c r="B19" s="92" t="s">
        <v>0</v>
      </c>
      <c r="C19" s="93" t="s">
        <v>35</v>
      </c>
      <c r="D19" s="92" t="s">
        <v>65</v>
      </c>
      <c r="E19" s="92" t="s">
        <v>2</v>
      </c>
      <c r="F19" s="95" t="s">
        <v>55</v>
      </c>
      <c r="G19" s="95" t="s">
        <v>56</v>
      </c>
      <c r="H19" s="95" t="s">
        <v>57</v>
      </c>
      <c r="I19" s="92" t="s">
        <v>3</v>
      </c>
      <c r="J19" s="14"/>
      <c r="K19" s="7" t="s">
        <v>58</v>
      </c>
      <c r="L19" s="7"/>
      <c r="M19" s="7"/>
      <c r="N19" s="7"/>
      <c r="O19" s="92" t="s">
        <v>59</v>
      </c>
      <c r="P19" s="92"/>
      <c r="Q19" s="92"/>
      <c r="R19" s="92"/>
    </row>
    <row r="20" spans="1:18" ht="15" customHeight="1" x14ac:dyDescent="0.25">
      <c r="A20" s="93"/>
      <c r="B20" s="92"/>
      <c r="C20" s="93"/>
      <c r="D20" s="92"/>
      <c r="E20" s="92"/>
      <c r="F20" s="96"/>
      <c r="G20" s="96"/>
      <c r="H20" s="96"/>
      <c r="I20" s="92"/>
      <c r="J20" s="14"/>
      <c r="K20" s="28" t="s">
        <v>27</v>
      </c>
      <c r="L20" s="23" t="s">
        <v>28</v>
      </c>
      <c r="M20" s="23" t="s">
        <v>29</v>
      </c>
      <c r="N20" s="23" t="s">
        <v>30</v>
      </c>
      <c r="O20" s="23" t="s">
        <v>31</v>
      </c>
      <c r="P20" s="23" t="s">
        <v>63</v>
      </c>
      <c r="Q20" s="23" t="s">
        <v>33</v>
      </c>
      <c r="R20" s="23" t="s">
        <v>34</v>
      </c>
    </row>
    <row r="21" spans="1:18" ht="18" customHeight="1" x14ac:dyDescent="0.25">
      <c r="A21" s="1">
        <v>52</v>
      </c>
      <c r="B21" s="1" t="s">
        <v>7</v>
      </c>
      <c r="C21" s="5" t="s">
        <v>71</v>
      </c>
      <c r="D21" s="1">
        <v>100</v>
      </c>
      <c r="E21" s="2">
        <v>9.83</v>
      </c>
      <c r="F21" s="60">
        <v>1.7</v>
      </c>
      <c r="G21" s="60">
        <v>6</v>
      </c>
      <c r="H21" s="60">
        <v>11</v>
      </c>
      <c r="I21" s="2">
        <v>104</v>
      </c>
      <c r="J21" s="2"/>
      <c r="K21" s="2">
        <v>35.200000000000003</v>
      </c>
      <c r="L21" s="2">
        <v>20.8</v>
      </c>
      <c r="M21" s="2">
        <v>41</v>
      </c>
      <c r="N21" s="2">
        <v>1.3</v>
      </c>
      <c r="O21" s="66">
        <v>0</v>
      </c>
      <c r="P21" s="66">
        <v>0</v>
      </c>
      <c r="Q21" s="2">
        <v>0.2</v>
      </c>
      <c r="R21" s="2">
        <v>9.5</v>
      </c>
    </row>
    <row r="22" spans="1:18" ht="30.75" customHeight="1" x14ac:dyDescent="0.25">
      <c r="A22" s="68">
        <v>103</v>
      </c>
      <c r="B22" s="68" t="s">
        <v>8</v>
      </c>
      <c r="C22" s="89" t="s">
        <v>129</v>
      </c>
      <c r="D22" s="40">
        <v>250</v>
      </c>
      <c r="E22" s="44">
        <v>10.1</v>
      </c>
      <c r="F22" s="44">
        <f>2.15*250/200</f>
        <v>2.6875</v>
      </c>
      <c r="G22" s="44">
        <f>2.27*250/200</f>
        <v>2.8374999999999999</v>
      </c>
      <c r="H22" s="44">
        <f>13.96*250/200</f>
        <v>17.45</v>
      </c>
      <c r="I22" s="44">
        <f>94.6*250/200</f>
        <v>118.25</v>
      </c>
      <c r="J22" s="69"/>
      <c r="K22" s="44">
        <f>23.36*250/200</f>
        <v>29.2</v>
      </c>
      <c r="L22" s="44">
        <v>21.82</v>
      </c>
      <c r="M22" s="44">
        <f>54.06*250/200</f>
        <v>67.575000000000003</v>
      </c>
      <c r="N22" s="44">
        <f>0.9*250/200</f>
        <v>1.125</v>
      </c>
      <c r="O22" s="91">
        <v>0</v>
      </c>
      <c r="P22" s="44">
        <f>0.09*250/200</f>
        <v>0.1125</v>
      </c>
      <c r="Q22" s="44">
        <f>0.946*250/200</f>
        <v>1.1825000000000001</v>
      </c>
      <c r="R22" s="44">
        <f>6.6*250/200</f>
        <v>8.25</v>
      </c>
    </row>
    <row r="23" spans="1:18" ht="19.5" customHeight="1" x14ac:dyDescent="0.25">
      <c r="A23" s="1">
        <v>289</v>
      </c>
      <c r="B23" s="1" t="s">
        <v>9</v>
      </c>
      <c r="C23" s="5" t="s">
        <v>90</v>
      </c>
      <c r="D23" s="1">
        <v>280</v>
      </c>
      <c r="E23" s="2">
        <v>66.94</v>
      </c>
      <c r="F23" s="2">
        <v>22.6</v>
      </c>
      <c r="G23" s="2">
        <v>28.6</v>
      </c>
      <c r="H23" s="2">
        <v>29.4</v>
      </c>
      <c r="I23" s="2">
        <v>465.6</v>
      </c>
      <c r="J23" s="2"/>
      <c r="K23" s="2">
        <v>58.9</v>
      </c>
      <c r="L23" s="2">
        <v>62.2</v>
      </c>
      <c r="M23" s="2">
        <v>173.1</v>
      </c>
      <c r="N23" s="2">
        <v>3</v>
      </c>
      <c r="O23" s="66">
        <v>0</v>
      </c>
      <c r="P23" s="2">
        <v>0.3</v>
      </c>
      <c r="Q23" s="2">
        <v>6.7</v>
      </c>
      <c r="R23" s="2">
        <v>18.100000000000001</v>
      </c>
    </row>
    <row r="24" spans="1:18" ht="17.25" customHeight="1" x14ac:dyDescent="0.25">
      <c r="A24" s="1">
        <v>349</v>
      </c>
      <c r="B24" s="1" t="s">
        <v>13</v>
      </c>
      <c r="C24" s="52" t="s">
        <v>49</v>
      </c>
      <c r="D24" s="30">
        <v>200</v>
      </c>
      <c r="E24" s="1">
        <v>6.22</v>
      </c>
      <c r="F24" s="2">
        <v>0.6</v>
      </c>
      <c r="G24" s="2">
        <v>0.09</v>
      </c>
      <c r="H24" s="2">
        <v>32.01</v>
      </c>
      <c r="I24" s="2">
        <v>132.80000000000001</v>
      </c>
      <c r="J24" s="41"/>
      <c r="K24" s="2">
        <v>32.479999999999997</v>
      </c>
      <c r="L24" s="2">
        <v>17.46</v>
      </c>
      <c r="M24" s="2">
        <v>23.44</v>
      </c>
      <c r="N24" s="2">
        <v>0.7</v>
      </c>
      <c r="O24" s="66">
        <v>0</v>
      </c>
      <c r="P24" s="2">
        <v>0.02</v>
      </c>
      <c r="Q24" s="2">
        <v>0.26</v>
      </c>
      <c r="R24" s="2">
        <v>0.73</v>
      </c>
    </row>
    <row r="25" spans="1:18" ht="18" customHeight="1" x14ac:dyDescent="0.25">
      <c r="A25" s="1"/>
      <c r="B25" s="1" t="s">
        <v>14</v>
      </c>
      <c r="C25" s="52" t="s">
        <v>76</v>
      </c>
      <c r="D25" s="30">
        <v>40</v>
      </c>
      <c r="E25" s="2">
        <v>3.33</v>
      </c>
      <c r="F25" s="2">
        <f>1.68*40/30</f>
        <v>2.2400000000000002</v>
      </c>
      <c r="G25" s="2">
        <f>0.33*40/30</f>
        <v>0.44000000000000006</v>
      </c>
      <c r="H25" s="2">
        <f>14.82*40/30</f>
        <v>19.759999999999998</v>
      </c>
      <c r="I25" s="2">
        <f>68.97*40/30</f>
        <v>91.960000000000008</v>
      </c>
      <c r="J25" s="41"/>
      <c r="K25" s="2">
        <f>6.9*40/30</f>
        <v>9.1999999999999993</v>
      </c>
      <c r="L25" s="2">
        <f>7.5*40/30</f>
        <v>10</v>
      </c>
      <c r="M25" s="2">
        <f>31.8*40/30</f>
        <v>42.4</v>
      </c>
      <c r="N25" s="2">
        <f>0.93*40/30</f>
        <v>1.24</v>
      </c>
      <c r="O25" s="66">
        <v>0</v>
      </c>
      <c r="P25" s="66">
        <v>0</v>
      </c>
      <c r="Q25" s="66">
        <v>0</v>
      </c>
      <c r="R25" s="66">
        <v>0</v>
      </c>
    </row>
    <row r="26" spans="1:18" ht="18" customHeight="1" x14ac:dyDescent="0.25">
      <c r="A26" s="1"/>
      <c r="B26" s="1" t="s">
        <v>15</v>
      </c>
      <c r="C26" s="5" t="s">
        <v>62</v>
      </c>
      <c r="D26" s="30">
        <v>70</v>
      </c>
      <c r="E26" s="33">
        <v>5.83</v>
      </c>
      <c r="F26" s="33">
        <f>2.37*70/30</f>
        <v>5.53</v>
      </c>
      <c r="G26" s="33">
        <f>0.3*70/30</f>
        <v>0.7</v>
      </c>
      <c r="H26" s="33">
        <f>14.49*70/30</f>
        <v>33.81</v>
      </c>
      <c r="I26" s="33">
        <f>70.14*70/30</f>
        <v>163.66</v>
      </c>
      <c r="J26" s="61"/>
      <c r="K26" s="33">
        <f>6.9*70/30</f>
        <v>16.100000000000001</v>
      </c>
      <c r="L26" s="33">
        <f>9.9*70/30</f>
        <v>23.1</v>
      </c>
      <c r="M26" s="33">
        <f>26.1*70/30</f>
        <v>60.9</v>
      </c>
      <c r="N26" s="33">
        <f>0.33*70/30</f>
        <v>0.77</v>
      </c>
      <c r="O26" s="67">
        <v>0</v>
      </c>
      <c r="P26" s="67">
        <v>0</v>
      </c>
      <c r="Q26" s="67">
        <v>0</v>
      </c>
      <c r="R26" s="67">
        <v>0</v>
      </c>
    </row>
    <row r="27" spans="1:18" ht="18" customHeight="1" x14ac:dyDescent="0.25">
      <c r="A27" s="1">
        <v>386</v>
      </c>
      <c r="B27" s="1" t="s">
        <v>64</v>
      </c>
      <c r="C27" s="25" t="s">
        <v>74</v>
      </c>
      <c r="D27" s="1">
        <v>100</v>
      </c>
      <c r="E27" s="2">
        <v>15.45</v>
      </c>
      <c r="F27" s="2">
        <v>3</v>
      </c>
      <c r="G27" s="2">
        <v>1</v>
      </c>
      <c r="H27" s="2">
        <v>4.2</v>
      </c>
      <c r="I27" s="2">
        <v>40</v>
      </c>
      <c r="J27" s="2">
        <v>40</v>
      </c>
      <c r="K27" s="2">
        <v>124</v>
      </c>
      <c r="L27" s="2">
        <v>14</v>
      </c>
      <c r="M27" s="2">
        <v>92</v>
      </c>
      <c r="N27" s="2">
        <v>0.1</v>
      </c>
      <c r="O27" s="2">
        <v>0</v>
      </c>
      <c r="P27" s="2">
        <v>0.03</v>
      </c>
      <c r="Q27" s="2">
        <v>0.1</v>
      </c>
      <c r="R27" s="2">
        <v>0.3</v>
      </c>
    </row>
    <row r="28" spans="1:18" ht="18" customHeight="1" x14ac:dyDescent="0.25">
      <c r="A28" s="97" t="s">
        <v>11</v>
      </c>
      <c r="B28" s="97"/>
      <c r="C28" s="97"/>
      <c r="D28" s="35">
        <f t="shared" ref="D28:R28" si="1">SUM(D21:D27)</f>
        <v>1040</v>
      </c>
      <c r="E28" s="53">
        <f t="shared" si="1"/>
        <v>117.7</v>
      </c>
      <c r="F28" s="53">
        <f t="shared" si="1"/>
        <v>38.357500000000002</v>
      </c>
      <c r="G28" s="53">
        <f t="shared" si="1"/>
        <v>39.667500000000004</v>
      </c>
      <c r="H28" s="53">
        <f t="shared" si="1"/>
        <v>147.62999999999997</v>
      </c>
      <c r="I28" s="53">
        <f t="shared" si="1"/>
        <v>1116.2700000000002</v>
      </c>
      <c r="J28" s="53">
        <f t="shared" si="1"/>
        <v>40</v>
      </c>
      <c r="K28" s="53">
        <f t="shared" si="1"/>
        <v>305.08</v>
      </c>
      <c r="L28" s="53">
        <f t="shared" si="1"/>
        <v>169.38</v>
      </c>
      <c r="M28" s="53">
        <f t="shared" si="1"/>
        <v>500.41499999999996</v>
      </c>
      <c r="N28" s="53">
        <f t="shared" si="1"/>
        <v>8.2349999999999994</v>
      </c>
      <c r="O28" s="53">
        <f t="shared" si="1"/>
        <v>0</v>
      </c>
      <c r="P28" s="53">
        <f t="shared" si="1"/>
        <v>0.46250000000000002</v>
      </c>
      <c r="Q28" s="53">
        <f t="shared" si="1"/>
        <v>8.442499999999999</v>
      </c>
      <c r="R28" s="53">
        <f t="shared" si="1"/>
        <v>36.879999999999995</v>
      </c>
    </row>
    <row r="29" spans="1:18" ht="18" customHeight="1" x14ac:dyDescent="0.25">
      <c r="A29" s="104" t="s">
        <v>17</v>
      </c>
      <c r="B29" s="104"/>
      <c r="C29" s="104"/>
      <c r="D29" s="104"/>
      <c r="E29" s="12">
        <f>E17+E28</f>
        <v>170.3</v>
      </c>
      <c r="F29" s="12">
        <f>F17+F28</f>
        <v>56.412261904761905</v>
      </c>
      <c r="G29" s="12">
        <f>G17+G28</f>
        <v>60.969880952380954</v>
      </c>
      <c r="H29" s="12">
        <f>H17+H28</f>
        <v>266.31095238095236</v>
      </c>
      <c r="I29" s="12">
        <f>I17+I28</f>
        <v>1842.4247619047621</v>
      </c>
      <c r="J29" s="41"/>
      <c r="K29" s="12">
        <f t="shared" ref="K29:R29" si="2">K17+K28</f>
        <v>483.95380952380947</v>
      </c>
      <c r="L29" s="12">
        <f t="shared" si="2"/>
        <v>232.67761904761903</v>
      </c>
      <c r="M29" s="12">
        <f t="shared" si="2"/>
        <v>751.26023809523804</v>
      </c>
      <c r="N29" s="12">
        <f t="shared" si="2"/>
        <v>13.627380952380951</v>
      </c>
      <c r="O29" s="12">
        <f t="shared" si="2"/>
        <v>62.273809523809526</v>
      </c>
      <c r="P29" s="12">
        <f t="shared" si="2"/>
        <v>0.74154761904761912</v>
      </c>
      <c r="Q29" s="12">
        <f t="shared" si="2"/>
        <v>9.1972619047619038</v>
      </c>
      <c r="R29" s="12">
        <f t="shared" si="2"/>
        <v>39.075238095238092</v>
      </c>
    </row>
    <row r="30" spans="1:18" ht="15" customHeight="1" x14ac:dyDescent="0.25">
      <c r="B30" s="15"/>
      <c r="C30" s="15"/>
      <c r="D30" s="15"/>
      <c r="E30" s="17"/>
      <c r="F30" s="18"/>
      <c r="G30" s="18"/>
      <c r="H30" s="18"/>
      <c r="I30" s="18"/>
      <c r="J30" s="19"/>
      <c r="K30" s="18"/>
      <c r="L30" s="18"/>
      <c r="M30" s="18"/>
      <c r="N30" s="18"/>
      <c r="O30" s="18"/>
      <c r="P30" s="18"/>
      <c r="Q30" s="18"/>
      <c r="R30" s="18"/>
    </row>
    <row r="31" spans="1:18" ht="15" customHeight="1" x14ac:dyDescent="0.25">
      <c r="A31" s="15"/>
      <c r="B31" s="15"/>
      <c r="C31" s="15"/>
      <c r="D31" s="15"/>
      <c r="E31" s="17"/>
      <c r="F31" s="18"/>
      <c r="G31" s="18"/>
      <c r="H31" s="18"/>
      <c r="I31" s="18"/>
      <c r="J31" s="19"/>
      <c r="K31" s="18"/>
      <c r="L31" s="18"/>
      <c r="M31" s="18"/>
      <c r="N31" s="18"/>
      <c r="O31" s="18"/>
      <c r="P31" s="18"/>
      <c r="Q31" s="18"/>
      <c r="R31" s="18"/>
    </row>
    <row r="32" spans="1:18" ht="15" customHeight="1" x14ac:dyDescent="0.25">
      <c r="A32" s="15"/>
      <c r="B32" s="15"/>
      <c r="C32" s="15"/>
      <c r="D32" s="15"/>
      <c r="E32" s="17"/>
      <c r="F32" s="18"/>
      <c r="G32" s="18"/>
      <c r="H32" s="18"/>
      <c r="I32" s="18"/>
      <c r="J32" s="19"/>
      <c r="K32" s="18"/>
      <c r="L32" s="18"/>
      <c r="M32" s="18"/>
      <c r="N32" s="18"/>
      <c r="O32" s="18"/>
      <c r="P32" s="18"/>
      <c r="Q32" s="18"/>
      <c r="R32" s="18"/>
    </row>
    <row r="33" spans="1:34" ht="15" customHeight="1" x14ac:dyDescent="0.25">
      <c r="A33" s="121" t="s">
        <v>37</v>
      </c>
      <c r="B33" s="121"/>
      <c r="C33" s="121"/>
      <c r="D33" s="15"/>
      <c r="E33" s="17"/>
      <c r="F33" s="18"/>
      <c r="G33" s="18"/>
      <c r="H33" s="18"/>
      <c r="I33" s="18"/>
      <c r="J33" s="19"/>
      <c r="K33" s="18"/>
      <c r="L33" s="18"/>
      <c r="M33" s="138" t="s">
        <v>103</v>
      </c>
      <c r="N33" s="138"/>
      <c r="O33" s="138"/>
      <c r="P33" s="138"/>
      <c r="Q33" s="138"/>
      <c r="R33" s="138"/>
    </row>
    <row r="34" spans="1:34" ht="15" customHeight="1" x14ac:dyDescent="0.25">
      <c r="A34" s="122" t="s">
        <v>48</v>
      </c>
      <c r="B34" s="122"/>
      <c r="C34" s="122"/>
      <c r="D34" s="15"/>
      <c r="E34" s="17"/>
      <c r="F34" s="18"/>
      <c r="G34" s="18"/>
      <c r="H34" s="18"/>
      <c r="I34" s="18"/>
      <c r="J34" s="19"/>
      <c r="K34" s="18"/>
      <c r="L34" s="18"/>
      <c r="M34" s="139" t="s">
        <v>111</v>
      </c>
      <c r="N34" s="139"/>
      <c r="O34" s="139"/>
      <c r="P34" s="139"/>
      <c r="Q34" s="139"/>
      <c r="R34" s="139"/>
    </row>
    <row r="35" spans="1:34" ht="15" customHeight="1" x14ac:dyDescent="0.25">
      <c r="A35" s="123" t="s">
        <v>100</v>
      </c>
      <c r="B35" s="123"/>
      <c r="C35" s="123"/>
      <c r="D35" s="15"/>
      <c r="E35" s="17"/>
      <c r="F35" s="18"/>
      <c r="G35" s="18"/>
      <c r="H35" s="18"/>
      <c r="I35" s="18"/>
      <c r="J35" s="19"/>
      <c r="K35" s="18"/>
      <c r="L35" s="18"/>
      <c r="M35" s="139" t="s">
        <v>106</v>
      </c>
      <c r="N35" s="139"/>
      <c r="O35" s="139"/>
      <c r="P35" s="139"/>
      <c r="Q35" s="139"/>
      <c r="R35" s="139"/>
    </row>
    <row r="36" spans="1:34" ht="15" customHeight="1" x14ac:dyDescent="0.25">
      <c r="A36" s="124" t="s">
        <v>128</v>
      </c>
      <c r="B36" s="124"/>
      <c r="C36" s="124"/>
      <c r="D36" s="15"/>
      <c r="E36" s="17"/>
      <c r="F36" s="18"/>
      <c r="G36" s="18"/>
      <c r="H36" s="18"/>
      <c r="I36" s="18"/>
      <c r="J36" s="19"/>
      <c r="K36" s="18"/>
      <c r="L36" s="18"/>
      <c r="M36" s="140" t="s">
        <v>130</v>
      </c>
      <c r="N36" s="140"/>
      <c r="O36" s="140"/>
      <c r="P36" s="140"/>
      <c r="Q36" s="140"/>
      <c r="R36" s="140"/>
    </row>
    <row r="37" spans="1:34" ht="20.25" customHeight="1" x14ac:dyDescent="0.25">
      <c r="A37" s="115" t="s">
        <v>5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</row>
    <row r="38" spans="1:34" ht="15" customHeight="1" x14ac:dyDescent="0.25">
      <c r="A38" s="116" t="s">
        <v>6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</row>
    <row r="39" spans="1:34" ht="15" customHeight="1" x14ac:dyDescent="0.25">
      <c r="A39" s="117" t="s">
        <v>92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</row>
    <row r="40" spans="1:34" ht="18" customHeight="1" x14ac:dyDescent="0.25">
      <c r="A40" s="114" t="s">
        <v>38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</row>
    <row r="41" spans="1:34" ht="18" customHeight="1" x14ac:dyDescent="0.25">
      <c r="A41" s="94" t="s">
        <v>4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</row>
    <row r="42" spans="1:34" ht="18" customHeight="1" x14ac:dyDescent="0.25">
      <c r="A42" s="93" t="s">
        <v>26</v>
      </c>
      <c r="B42" s="92" t="s">
        <v>0</v>
      </c>
      <c r="C42" s="93" t="s">
        <v>35</v>
      </c>
      <c r="D42" s="92" t="s">
        <v>66</v>
      </c>
      <c r="E42" s="92" t="s">
        <v>2</v>
      </c>
      <c r="F42" s="93" t="s">
        <v>55</v>
      </c>
      <c r="G42" s="93" t="s">
        <v>56</v>
      </c>
      <c r="H42" s="93" t="s">
        <v>57</v>
      </c>
      <c r="I42" s="92" t="s">
        <v>3</v>
      </c>
      <c r="J42" s="14"/>
      <c r="K42" s="7" t="s">
        <v>58</v>
      </c>
      <c r="L42" s="7"/>
      <c r="M42" s="7"/>
      <c r="N42" s="7"/>
      <c r="O42" s="92" t="s">
        <v>59</v>
      </c>
      <c r="P42" s="92"/>
      <c r="Q42" s="92"/>
      <c r="R42" s="92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</row>
    <row r="43" spans="1:34" ht="15" customHeight="1" x14ac:dyDescent="0.25">
      <c r="A43" s="93"/>
      <c r="B43" s="92"/>
      <c r="C43" s="93"/>
      <c r="D43" s="92"/>
      <c r="E43" s="92"/>
      <c r="F43" s="93"/>
      <c r="G43" s="93"/>
      <c r="H43" s="93"/>
      <c r="I43" s="92"/>
      <c r="J43" s="14"/>
      <c r="K43" s="73" t="s">
        <v>27</v>
      </c>
      <c r="L43" s="74" t="s">
        <v>28</v>
      </c>
      <c r="M43" s="74" t="s">
        <v>29</v>
      </c>
      <c r="N43" s="74" t="s">
        <v>30</v>
      </c>
      <c r="O43" s="74" t="s">
        <v>31</v>
      </c>
      <c r="P43" s="74" t="s">
        <v>63</v>
      </c>
      <c r="Q43" s="74" t="s">
        <v>33</v>
      </c>
      <c r="R43" s="74" t="s">
        <v>34</v>
      </c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</row>
    <row r="44" spans="1:34" ht="18" customHeight="1" x14ac:dyDescent="0.25">
      <c r="A44" s="1">
        <v>219</v>
      </c>
      <c r="B44" s="1" t="s">
        <v>7</v>
      </c>
      <c r="C44" s="86" t="s">
        <v>112</v>
      </c>
      <c r="D44" s="30" t="s">
        <v>113</v>
      </c>
      <c r="E44" s="2">
        <v>123.68</v>
      </c>
      <c r="F44" s="2">
        <v>33.94</v>
      </c>
      <c r="G44" s="2">
        <v>28.19</v>
      </c>
      <c r="H44" s="2">
        <v>53.88</v>
      </c>
      <c r="I44" s="2">
        <v>606.57000000000005</v>
      </c>
      <c r="J44" s="41"/>
      <c r="K44" s="2">
        <v>442.2</v>
      </c>
      <c r="L44" s="2">
        <v>57.64</v>
      </c>
      <c r="M44" s="2">
        <v>493.05</v>
      </c>
      <c r="N44" s="2">
        <v>1.19</v>
      </c>
      <c r="O44" s="2">
        <v>115.97</v>
      </c>
      <c r="P44" s="2">
        <v>0.06</v>
      </c>
      <c r="Q44" s="2">
        <v>0.45</v>
      </c>
      <c r="R44" s="2">
        <v>1.04</v>
      </c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</row>
    <row r="45" spans="1:34" ht="18" customHeight="1" x14ac:dyDescent="0.25">
      <c r="A45" s="1">
        <v>376</v>
      </c>
      <c r="B45" s="1" t="s">
        <v>8</v>
      </c>
      <c r="C45" s="25" t="s">
        <v>16</v>
      </c>
      <c r="D45" s="1">
        <v>200</v>
      </c>
      <c r="E45" s="2">
        <v>1.9</v>
      </c>
      <c r="F45" s="2">
        <v>0.1</v>
      </c>
      <c r="G45" s="2">
        <v>0</v>
      </c>
      <c r="H45" s="2">
        <v>15</v>
      </c>
      <c r="I45" s="2">
        <v>60</v>
      </c>
      <c r="J45" s="41"/>
      <c r="K45" s="2">
        <v>5</v>
      </c>
      <c r="L45" s="66">
        <v>0</v>
      </c>
      <c r="M45" s="66">
        <v>0</v>
      </c>
      <c r="N45" s="2">
        <v>2</v>
      </c>
      <c r="O45" s="66">
        <v>0</v>
      </c>
      <c r="P45" s="66">
        <v>0</v>
      </c>
      <c r="Q45" s="66">
        <v>0</v>
      </c>
      <c r="R45" s="66">
        <v>0</v>
      </c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</row>
    <row r="46" spans="1:34" ht="18" customHeight="1" x14ac:dyDescent="0.25">
      <c r="A46" s="1"/>
      <c r="B46" s="1" t="s">
        <v>9</v>
      </c>
      <c r="C46" s="25" t="s">
        <v>117</v>
      </c>
      <c r="D46" s="30">
        <v>180</v>
      </c>
      <c r="E46" s="2">
        <v>36</v>
      </c>
      <c r="F46" s="2">
        <v>0.72</v>
      </c>
      <c r="G46" s="1">
        <v>0</v>
      </c>
      <c r="H46" s="1">
        <v>22.68</v>
      </c>
      <c r="I46" s="3">
        <v>93.6</v>
      </c>
      <c r="J46" s="25"/>
      <c r="K46" s="3">
        <v>10.8</v>
      </c>
      <c r="L46" s="3">
        <v>9</v>
      </c>
      <c r="M46" s="3">
        <v>19.8</v>
      </c>
      <c r="N46" s="2">
        <v>0.18</v>
      </c>
      <c r="O46" s="3">
        <v>102.6</v>
      </c>
      <c r="P46" s="66">
        <v>0</v>
      </c>
      <c r="Q46" s="66">
        <v>0</v>
      </c>
      <c r="R46" s="2">
        <v>8.3699999999999992</v>
      </c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</row>
    <row r="47" spans="1:34" ht="18" customHeight="1" x14ac:dyDescent="0.25">
      <c r="A47" s="97" t="s">
        <v>11</v>
      </c>
      <c r="B47" s="97"/>
      <c r="C47" s="97"/>
      <c r="D47" s="34">
        <v>600</v>
      </c>
      <c r="E47" s="12">
        <f>SUM(E44:E46)</f>
        <v>161.58000000000001</v>
      </c>
      <c r="F47" s="12">
        <f>SUM(F44:F46)</f>
        <v>34.76</v>
      </c>
      <c r="G47" s="12">
        <v>23.299999999999997</v>
      </c>
      <c r="H47" s="12">
        <v>95.5</v>
      </c>
      <c r="I47" s="12">
        <v>656.40000000000009</v>
      </c>
      <c r="J47" s="41"/>
      <c r="K47" s="12">
        <v>311.5</v>
      </c>
      <c r="L47" s="12">
        <v>61.599999999999994</v>
      </c>
      <c r="M47" s="12">
        <v>300.7</v>
      </c>
      <c r="N47" s="12">
        <v>2</v>
      </c>
      <c r="O47" s="12">
        <f>SUM(O44:O46)</f>
        <v>218.57</v>
      </c>
      <c r="P47" s="12">
        <f>SUM(P44:P46)</f>
        <v>0.06</v>
      </c>
      <c r="Q47" s="12">
        <f>SUM(Q44:Q46)</f>
        <v>0.45</v>
      </c>
      <c r="R47" s="12">
        <f>SUM(R44:R46)</f>
        <v>9.41</v>
      </c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</row>
    <row r="48" spans="1:34" ht="18" customHeight="1" x14ac:dyDescent="0.25">
      <c r="A48" s="94" t="s">
        <v>12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</row>
    <row r="49" spans="1:18" ht="18" customHeight="1" x14ac:dyDescent="0.25">
      <c r="A49" s="93" t="s">
        <v>26</v>
      </c>
      <c r="B49" s="92" t="s">
        <v>0</v>
      </c>
      <c r="C49" s="93" t="s">
        <v>35</v>
      </c>
      <c r="D49" s="92" t="s">
        <v>65</v>
      </c>
      <c r="E49" s="92" t="s">
        <v>2</v>
      </c>
      <c r="F49" s="93" t="s">
        <v>55</v>
      </c>
      <c r="G49" s="93" t="s">
        <v>56</v>
      </c>
      <c r="H49" s="93" t="s">
        <v>57</v>
      </c>
      <c r="I49" s="92" t="s">
        <v>3</v>
      </c>
      <c r="J49" s="14"/>
      <c r="K49" s="7" t="s">
        <v>58</v>
      </c>
      <c r="L49" s="7"/>
      <c r="M49" s="7"/>
      <c r="N49" s="7"/>
      <c r="O49" s="92" t="s">
        <v>59</v>
      </c>
      <c r="P49" s="92"/>
      <c r="Q49" s="92"/>
      <c r="R49" s="92"/>
    </row>
    <row r="50" spans="1:18" ht="15" customHeight="1" x14ac:dyDescent="0.25">
      <c r="A50" s="93"/>
      <c r="B50" s="92"/>
      <c r="C50" s="93"/>
      <c r="D50" s="92"/>
      <c r="E50" s="92"/>
      <c r="F50" s="93"/>
      <c r="G50" s="93"/>
      <c r="H50" s="93"/>
      <c r="I50" s="92"/>
      <c r="J50" s="14"/>
      <c r="K50" s="73" t="s">
        <v>27</v>
      </c>
      <c r="L50" s="74" t="s">
        <v>28</v>
      </c>
      <c r="M50" s="74" t="s">
        <v>29</v>
      </c>
      <c r="N50" s="74" t="s">
        <v>30</v>
      </c>
      <c r="O50" s="74" t="s">
        <v>31</v>
      </c>
      <c r="P50" s="74" t="s">
        <v>63</v>
      </c>
      <c r="Q50" s="74" t="s">
        <v>33</v>
      </c>
      <c r="R50" s="74" t="s">
        <v>34</v>
      </c>
    </row>
    <row r="51" spans="1:18" ht="18" customHeight="1" x14ac:dyDescent="0.25">
      <c r="A51" s="26">
        <v>71</v>
      </c>
      <c r="B51" s="1" t="s">
        <v>7</v>
      </c>
      <c r="C51" s="5" t="s">
        <v>70</v>
      </c>
      <c r="D51" s="1">
        <v>100</v>
      </c>
      <c r="E51" s="2">
        <v>36.82</v>
      </c>
      <c r="F51" s="60">
        <v>0.8</v>
      </c>
      <c r="G51" s="60">
        <v>0</v>
      </c>
      <c r="H51" s="60">
        <v>3.3</v>
      </c>
      <c r="I51" s="2">
        <v>16</v>
      </c>
      <c r="J51" s="62"/>
      <c r="K51" s="2">
        <v>23</v>
      </c>
      <c r="L51" s="2">
        <v>0</v>
      </c>
      <c r="M51" s="2">
        <v>0</v>
      </c>
      <c r="N51" s="2">
        <v>0.5</v>
      </c>
      <c r="O51" s="2">
        <v>0</v>
      </c>
      <c r="P51" s="2">
        <v>0</v>
      </c>
      <c r="Q51" s="2">
        <v>0</v>
      </c>
      <c r="R51" s="2">
        <v>5</v>
      </c>
    </row>
    <row r="52" spans="1:18" ht="17.25" customHeight="1" x14ac:dyDescent="0.25">
      <c r="A52" s="1">
        <v>82</v>
      </c>
      <c r="B52" s="1" t="s">
        <v>8</v>
      </c>
      <c r="C52" s="5" t="s">
        <v>104</v>
      </c>
      <c r="D52" s="1">
        <v>250</v>
      </c>
      <c r="E52" s="2">
        <v>13.62</v>
      </c>
      <c r="F52" s="2">
        <v>1.8</v>
      </c>
      <c r="G52" s="2">
        <v>4.9000000000000004</v>
      </c>
      <c r="H52" s="2">
        <v>15.2</v>
      </c>
      <c r="I52" s="2">
        <v>112.3</v>
      </c>
      <c r="J52" s="41"/>
      <c r="K52" s="2">
        <v>85.9</v>
      </c>
      <c r="L52" s="2">
        <v>10.6</v>
      </c>
      <c r="M52" s="2">
        <v>21.8</v>
      </c>
      <c r="N52" s="2">
        <v>0.9</v>
      </c>
      <c r="O52" s="2">
        <v>1</v>
      </c>
      <c r="P52" s="2">
        <v>5</v>
      </c>
      <c r="Q52" s="2">
        <v>0.3</v>
      </c>
      <c r="R52" s="2">
        <v>12.9</v>
      </c>
    </row>
    <row r="53" spans="1:18" ht="18" customHeight="1" x14ac:dyDescent="0.25">
      <c r="A53" s="1">
        <v>234</v>
      </c>
      <c r="B53" s="1" t="s">
        <v>9</v>
      </c>
      <c r="C53" s="5" t="s">
        <v>50</v>
      </c>
      <c r="D53" s="30" t="s">
        <v>87</v>
      </c>
      <c r="E53" s="2">
        <v>40.28</v>
      </c>
      <c r="F53" s="2">
        <v>14.8</v>
      </c>
      <c r="G53" s="2">
        <v>18.8</v>
      </c>
      <c r="H53" s="2">
        <v>11.6</v>
      </c>
      <c r="I53" s="2">
        <v>274</v>
      </c>
      <c r="J53" s="63"/>
      <c r="K53" s="2">
        <v>139.30000000000001</v>
      </c>
      <c r="L53" s="2">
        <v>0</v>
      </c>
      <c r="M53" s="2">
        <v>0</v>
      </c>
      <c r="N53" s="2">
        <v>1</v>
      </c>
      <c r="O53" s="2">
        <v>0</v>
      </c>
      <c r="P53" s="2">
        <v>0.2</v>
      </c>
      <c r="Q53" s="2">
        <v>0</v>
      </c>
      <c r="R53" s="2">
        <v>6.8</v>
      </c>
    </row>
    <row r="54" spans="1:18" ht="18" customHeight="1" x14ac:dyDescent="0.25">
      <c r="A54" s="1">
        <v>312</v>
      </c>
      <c r="B54" s="1" t="s">
        <v>13</v>
      </c>
      <c r="C54" s="5" t="s">
        <v>110</v>
      </c>
      <c r="D54" s="1">
        <v>180</v>
      </c>
      <c r="E54" s="1">
        <v>26.92</v>
      </c>
      <c r="F54" s="2">
        <v>3.72</v>
      </c>
      <c r="G54" s="2">
        <v>6.12</v>
      </c>
      <c r="H54" s="2">
        <v>22.28</v>
      </c>
      <c r="I54" s="2">
        <v>159.12</v>
      </c>
      <c r="J54" s="63"/>
      <c r="K54" s="2">
        <v>204.48</v>
      </c>
      <c r="L54" s="2">
        <v>19.98</v>
      </c>
      <c r="M54" s="2">
        <v>131.97999999999999</v>
      </c>
      <c r="N54" s="2">
        <v>0.44</v>
      </c>
      <c r="O54" s="2">
        <v>0.32</v>
      </c>
      <c r="P54" s="2">
        <v>0.06</v>
      </c>
      <c r="Q54" s="2">
        <v>0.14000000000000001</v>
      </c>
      <c r="R54" s="2">
        <v>1.81</v>
      </c>
    </row>
    <row r="55" spans="1:18" ht="17.25" customHeight="1" x14ac:dyDescent="0.25">
      <c r="A55" s="1"/>
      <c r="B55" s="1" t="s">
        <v>14</v>
      </c>
      <c r="C55" s="52" t="s">
        <v>54</v>
      </c>
      <c r="D55" s="1">
        <v>200</v>
      </c>
      <c r="E55" s="2">
        <v>14</v>
      </c>
      <c r="F55" s="2">
        <v>0.2</v>
      </c>
      <c r="G55" s="2">
        <v>0</v>
      </c>
      <c r="H55" s="2">
        <v>3.9</v>
      </c>
      <c r="I55" s="2">
        <v>69</v>
      </c>
      <c r="J55" s="70"/>
      <c r="K55" s="2">
        <v>0.24</v>
      </c>
      <c r="L55" s="2">
        <v>0.2</v>
      </c>
      <c r="M55" s="2">
        <v>0.5</v>
      </c>
      <c r="N55" s="2">
        <v>7</v>
      </c>
      <c r="O55" s="66">
        <v>0</v>
      </c>
      <c r="P55" s="2">
        <v>0.1</v>
      </c>
      <c r="Q55" s="66">
        <v>0</v>
      </c>
      <c r="R55" s="2">
        <v>6</v>
      </c>
    </row>
    <row r="56" spans="1:18" ht="17.25" customHeight="1" x14ac:dyDescent="0.25">
      <c r="A56" s="1"/>
      <c r="B56" s="1" t="s">
        <v>15</v>
      </c>
      <c r="C56" s="52" t="s">
        <v>76</v>
      </c>
      <c r="D56" s="30">
        <v>40</v>
      </c>
      <c r="E56" s="2">
        <v>3.33</v>
      </c>
      <c r="F56" s="2">
        <f>1.68*40/30</f>
        <v>2.2400000000000002</v>
      </c>
      <c r="G56" s="2">
        <f>0.33*40/30</f>
        <v>0.44000000000000006</v>
      </c>
      <c r="H56" s="2">
        <f>14.82*40/30</f>
        <v>19.759999999999998</v>
      </c>
      <c r="I56" s="2">
        <f>68.97*40/30</f>
        <v>91.960000000000008</v>
      </c>
      <c r="J56" s="41"/>
      <c r="K56" s="2">
        <f>6.9*40/30</f>
        <v>9.1999999999999993</v>
      </c>
      <c r="L56" s="2">
        <f>7.5*40/30</f>
        <v>10</v>
      </c>
      <c r="M56" s="2">
        <f>31.8*40/30</f>
        <v>42.4</v>
      </c>
      <c r="N56" s="2">
        <f>0.93*40/30</f>
        <v>1.24</v>
      </c>
      <c r="O56" s="66">
        <v>0</v>
      </c>
      <c r="P56" s="66">
        <v>0</v>
      </c>
      <c r="Q56" s="66">
        <v>0</v>
      </c>
      <c r="R56" s="66">
        <v>0</v>
      </c>
    </row>
    <row r="57" spans="1:18" ht="18.75" customHeight="1" x14ac:dyDescent="0.25">
      <c r="A57" s="1"/>
      <c r="B57" s="1" t="s">
        <v>64</v>
      </c>
      <c r="C57" s="5" t="s">
        <v>62</v>
      </c>
      <c r="D57" s="30">
        <v>70</v>
      </c>
      <c r="E57" s="33">
        <v>5.83</v>
      </c>
      <c r="F57" s="33">
        <f>2.37*70/30</f>
        <v>5.53</v>
      </c>
      <c r="G57" s="33">
        <f>0.3*70/30</f>
        <v>0.7</v>
      </c>
      <c r="H57" s="33">
        <f>14.49*70/30</f>
        <v>33.81</v>
      </c>
      <c r="I57" s="33">
        <f>70.14*70/30</f>
        <v>163.66</v>
      </c>
      <c r="J57" s="61"/>
      <c r="K57" s="33">
        <f>6.9*70/30</f>
        <v>16.100000000000001</v>
      </c>
      <c r="L57" s="33">
        <f>9.9*70/30</f>
        <v>23.1</v>
      </c>
      <c r="M57" s="33">
        <f>26.1*70/30</f>
        <v>60.9</v>
      </c>
      <c r="N57" s="33">
        <f>0.33*70/30</f>
        <v>0.77</v>
      </c>
      <c r="O57" s="67">
        <v>0</v>
      </c>
      <c r="P57" s="67">
        <v>0</v>
      </c>
      <c r="Q57" s="67">
        <v>0</v>
      </c>
      <c r="R57" s="67">
        <v>0</v>
      </c>
    </row>
    <row r="58" spans="1:18" ht="18" customHeight="1" x14ac:dyDescent="0.25">
      <c r="A58" s="1">
        <v>386</v>
      </c>
      <c r="B58" s="1" t="s">
        <v>73</v>
      </c>
      <c r="C58" s="25" t="s">
        <v>75</v>
      </c>
      <c r="D58" s="1">
        <v>100</v>
      </c>
      <c r="E58" s="2">
        <v>15.45</v>
      </c>
      <c r="F58" s="2">
        <v>2.7</v>
      </c>
      <c r="G58" s="2">
        <v>2.5</v>
      </c>
      <c r="H58" s="2">
        <v>10.8</v>
      </c>
      <c r="I58" s="2">
        <v>79</v>
      </c>
      <c r="J58" s="41"/>
      <c r="K58" s="2">
        <v>121</v>
      </c>
      <c r="L58" s="2">
        <v>15</v>
      </c>
      <c r="M58" s="2">
        <v>94</v>
      </c>
      <c r="N58" s="2">
        <v>0.1</v>
      </c>
      <c r="O58" s="2">
        <v>20</v>
      </c>
      <c r="P58" s="2">
        <v>4.4999999999999998E-2</v>
      </c>
      <c r="Q58" s="2">
        <v>0.1</v>
      </c>
      <c r="R58" s="2">
        <v>0.9</v>
      </c>
    </row>
    <row r="59" spans="1:18" ht="18" customHeight="1" x14ac:dyDescent="0.25">
      <c r="A59" s="97" t="s">
        <v>11</v>
      </c>
      <c r="B59" s="97"/>
      <c r="C59" s="97"/>
      <c r="D59" s="34">
        <v>1045</v>
      </c>
      <c r="E59" s="64">
        <f t="shared" ref="E59:R59" si="3">SUM(E51:E58)</f>
        <v>156.25</v>
      </c>
      <c r="F59" s="64">
        <f t="shared" si="3"/>
        <v>31.790000000000003</v>
      </c>
      <c r="G59" s="64">
        <f t="shared" si="3"/>
        <v>33.460000000000008</v>
      </c>
      <c r="H59" s="64">
        <f t="shared" si="3"/>
        <v>120.64999999999999</v>
      </c>
      <c r="I59" s="64">
        <f t="shared" si="3"/>
        <v>965.04000000000008</v>
      </c>
      <c r="J59" s="64">
        <f t="shared" si="3"/>
        <v>0</v>
      </c>
      <c r="K59" s="64">
        <f t="shared" si="3"/>
        <v>599.22</v>
      </c>
      <c r="L59" s="64">
        <f t="shared" si="3"/>
        <v>78.88</v>
      </c>
      <c r="M59" s="64">
        <f t="shared" si="3"/>
        <v>351.58</v>
      </c>
      <c r="N59" s="64">
        <f t="shared" si="3"/>
        <v>11.95</v>
      </c>
      <c r="O59" s="64">
        <f t="shared" si="3"/>
        <v>21.32</v>
      </c>
      <c r="P59" s="64">
        <f t="shared" si="3"/>
        <v>5.4049999999999994</v>
      </c>
      <c r="Q59" s="64">
        <f t="shared" si="3"/>
        <v>0.54</v>
      </c>
      <c r="R59" s="64">
        <f t="shared" si="3"/>
        <v>33.409999999999997</v>
      </c>
    </row>
    <row r="60" spans="1:18" ht="18" customHeight="1" x14ac:dyDescent="0.25">
      <c r="A60" s="104" t="s">
        <v>17</v>
      </c>
      <c r="B60" s="104"/>
      <c r="C60" s="104"/>
      <c r="D60" s="104"/>
      <c r="E60" s="12">
        <f>E47+E59</f>
        <v>317.83000000000004</v>
      </c>
      <c r="F60" s="12">
        <f>F47+F59</f>
        <v>66.55</v>
      </c>
      <c r="G60" s="12">
        <f>G47+G59</f>
        <v>56.760000000000005</v>
      </c>
      <c r="H60" s="12">
        <f>H47+H59</f>
        <v>216.14999999999998</v>
      </c>
      <c r="I60" s="12">
        <f>I47+I59</f>
        <v>1621.44</v>
      </c>
      <c r="J60" s="41"/>
      <c r="K60" s="12">
        <f t="shared" ref="K60:R60" si="4">K47+K59</f>
        <v>910.72</v>
      </c>
      <c r="L60" s="12">
        <f t="shared" si="4"/>
        <v>140.47999999999999</v>
      </c>
      <c r="M60" s="12">
        <f t="shared" si="4"/>
        <v>652.28</v>
      </c>
      <c r="N60" s="12">
        <f t="shared" si="4"/>
        <v>13.95</v>
      </c>
      <c r="O60" s="12">
        <f t="shared" si="4"/>
        <v>239.89</v>
      </c>
      <c r="P60" s="12">
        <f t="shared" si="4"/>
        <v>5.464999999999999</v>
      </c>
      <c r="Q60" s="12">
        <f t="shared" si="4"/>
        <v>0.99</v>
      </c>
      <c r="R60" s="12">
        <f t="shared" si="4"/>
        <v>42.819999999999993</v>
      </c>
    </row>
    <row r="61" spans="1:18" ht="18" customHeight="1" x14ac:dyDescent="0.25">
      <c r="A61" s="50"/>
      <c r="B61" s="50"/>
      <c r="C61" s="50"/>
      <c r="D61" s="50"/>
      <c r="E61" s="51"/>
      <c r="F61" s="51"/>
      <c r="G61" s="51"/>
      <c r="H61" s="51"/>
      <c r="I61" s="51"/>
      <c r="J61" s="48"/>
      <c r="K61" s="51"/>
      <c r="L61" s="51"/>
      <c r="M61" s="51"/>
      <c r="N61" s="51"/>
      <c r="O61" s="51"/>
      <c r="P61" s="51"/>
      <c r="Q61" s="51"/>
      <c r="R61" s="51"/>
    </row>
    <row r="62" spans="1:18" ht="15" customHeight="1" x14ac:dyDescent="0.25">
      <c r="A62" s="15"/>
      <c r="B62" s="15"/>
      <c r="C62" s="15"/>
      <c r="D62" s="15"/>
      <c r="E62" s="16"/>
      <c r="F62" s="17"/>
      <c r="G62" s="17"/>
      <c r="H62" s="17"/>
      <c r="I62" s="17"/>
      <c r="J62" s="19"/>
      <c r="K62" s="17"/>
      <c r="L62" s="16"/>
      <c r="M62" s="17"/>
      <c r="N62" s="17"/>
      <c r="O62" s="17"/>
      <c r="P62" s="16"/>
      <c r="Q62" s="16"/>
      <c r="R62" s="16"/>
    </row>
    <row r="63" spans="1:18" ht="15" customHeight="1" x14ac:dyDescent="0.25">
      <c r="A63" s="15"/>
      <c r="B63" s="15"/>
      <c r="C63" s="15"/>
      <c r="D63" s="15"/>
      <c r="E63" s="16"/>
      <c r="F63" s="17"/>
      <c r="G63" s="17"/>
      <c r="H63" s="17"/>
      <c r="I63" s="17"/>
      <c r="J63" s="19"/>
      <c r="K63" s="17"/>
      <c r="L63" s="16"/>
      <c r="M63" s="17"/>
      <c r="N63" s="17"/>
      <c r="O63" s="17"/>
      <c r="P63" s="16"/>
      <c r="Q63" s="16"/>
      <c r="R63" s="16"/>
    </row>
    <row r="64" spans="1:18" ht="15" customHeight="1" x14ac:dyDescent="0.25">
      <c r="A64" s="121" t="s">
        <v>37</v>
      </c>
      <c r="B64" s="121"/>
      <c r="C64" s="121"/>
      <c r="D64" s="15"/>
      <c r="E64" s="16"/>
      <c r="F64" s="17"/>
      <c r="G64" s="17"/>
      <c r="H64" s="17"/>
      <c r="I64" s="17"/>
      <c r="J64" s="19"/>
      <c r="K64" s="17"/>
      <c r="L64" s="16"/>
      <c r="M64" s="138" t="s">
        <v>103</v>
      </c>
      <c r="N64" s="138"/>
      <c r="O64" s="138"/>
      <c r="P64" s="138"/>
      <c r="Q64" s="138"/>
      <c r="R64" s="138"/>
    </row>
    <row r="65" spans="1:18" ht="15" customHeight="1" x14ac:dyDescent="0.25">
      <c r="A65" s="122" t="s">
        <v>48</v>
      </c>
      <c r="B65" s="122"/>
      <c r="C65" s="122"/>
      <c r="D65" s="15"/>
      <c r="E65" s="16"/>
      <c r="F65" s="17"/>
      <c r="G65" s="17"/>
      <c r="H65" s="17"/>
      <c r="I65" s="17"/>
      <c r="J65" s="19"/>
      <c r="K65" s="17"/>
      <c r="L65" s="16"/>
      <c r="M65" s="139" t="s">
        <v>111</v>
      </c>
      <c r="N65" s="139"/>
      <c r="O65" s="139"/>
      <c r="P65" s="139"/>
      <c r="Q65" s="139"/>
      <c r="R65" s="139"/>
    </row>
    <row r="66" spans="1:18" ht="15" customHeight="1" x14ac:dyDescent="0.25">
      <c r="A66" s="123" t="s">
        <v>100</v>
      </c>
      <c r="B66" s="123"/>
      <c r="C66" s="123"/>
      <c r="D66" s="15"/>
      <c r="E66" s="16"/>
      <c r="F66" s="17"/>
      <c r="G66" s="17"/>
      <c r="H66" s="17"/>
      <c r="I66" s="17"/>
      <c r="J66" s="19"/>
      <c r="K66" s="17"/>
      <c r="L66" s="16"/>
      <c r="M66" s="139" t="s">
        <v>106</v>
      </c>
      <c r="N66" s="139"/>
      <c r="O66" s="139"/>
      <c r="P66" s="139"/>
      <c r="Q66" s="139"/>
      <c r="R66" s="139"/>
    </row>
    <row r="67" spans="1:18" ht="15" customHeight="1" x14ac:dyDescent="0.25">
      <c r="A67" s="124" t="s">
        <v>128</v>
      </c>
      <c r="B67" s="124"/>
      <c r="C67" s="124"/>
      <c r="D67" s="15"/>
      <c r="E67" s="16"/>
      <c r="F67" s="17"/>
      <c r="G67" s="17"/>
      <c r="H67" s="17"/>
      <c r="I67" s="17"/>
      <c r="J67" s="19"/>
      <c r="K67" s="17"/>
      <c r="L67" s="16"/>
      <c r="M67" s="140" t="s">
        <v>130</v>
      </c>
      <c r="N67" s="140"/>
      <c r="O67" s="140"/>
      <c r="P67" s="140"/>
      <c r="Q67" s="140"/>
      <c r="R67" s="140"/>
    </row>
    <row r="68" spans="1:18" ht="15" customHeight="1" x14ac:dyDescent="0.25">
      <c r="A68" s="115" t="s">
        <v>5</v>
      </c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</row>
    <row r="69" spans="1:18" ht="15" customHeight="1" x14ac:dyDescent="0.25">
      <c r="A69" s="116" t="s">
        <v>6</v>
      </c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</row>
    <row r="70" spans="1:18" ht="15" customHeight="1" x14ac:dyDescent="0.25">
      <c r="A70" s="117" t="s">
        <v>92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</row>
    <row r="71" spans="1:18" ht="18" customHeight="1" x14ac:dyDescent="0.25">
      <c r="A71" s="101" t="s">
        <v>67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3"/>
    </row>
    <row r="72" spans="1:18" ht="18" customHeight="1" x14ac:dyDescent="0.25">
      <c r="A72" s="94" t="s">
        <v>4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</row>
    <row r="73" spans="1:18" ht="18" customHeight="1" x14ac:dyDescent="0.25">
      <c r="A73" s="95" t="s">
        <v>26</v>
      </c>
      <c r="B73" s="105" t="s">
        <v>0</v>
      </c>
      <c r="C73" s="95" t="s">
        <v>35</v>
      </c>
      <c r="D73" s="95" t="s">
        <v>66</v>
      </c>
      <c r="E73" s="105" t="s">
        <v>2</v>
      </c>
      <c r="F73" s="95" t="s">
        <v>55</v>
      </c>
      <c r="G73" s="95" t="s">
        <v>56</v>
      </c>
      <c r="H73" s="95" t="s">
        <v>57</v>
      </c>
      <c r="I73" s="105" t="s">
        <v>3</v>
      </c>
      <c r="J73" s="14"/>
      <c r="K73" s="7" t="s">
        <v>58</v>
      </c>
      <c r="L73" s="7"/>
      <c r="M73" s="7"/>
      <c r="N73" s="7"/>
      <c r="O73" s="108" t="s">
        <v>59</v>
      </c>
      <c r="P73" s="109"/>
      <c r="Q73" s="109"/>
      <c r="R73" s="110"/>
    </row>
    <row r="74" spans="1:18" ht="15" customHeight="1" x14ac:dyDescent="0.25">
      <c r="A74" s="137"/>
      <c r="B74" s="106"/>
      <c r="C74" s="137"/>
      <c r="D74" s="137"/>
      <c r="E74" s="106"/>
      <c r="F74" s="137"/>
      <c r="G74" s="137"/>
      <c r="H74" s="137"/>
      <c r="I74" s="106"/>
      <c r="J74" s="14"/>
      <c r="K74" s="7"/>
      <c r="L74" s="7"/>
      <c r="M74" s="7"/>
      <c r="N74" s="7"/>
      <c r="O74" s="80"/>
      <c r="P74" s="81"/>
      <c r="Q74" s="81"/>
      <c r="R74" s="82"/>
    </row>
    <row r="75" spans="1:18" ht="15" customHeight="1" x14ac:dyDescent="0.25">
      <c r="A75" s="96"/>
      <c r="B75" s="107"/>
      <c r="C75" s="96"/>
      <c r="D75" s="96"/>
      <c r="E75" s="107"/>
      <c r="F75" s="96"/>
      <c r="G75" s="96"/>
      <c r="H75" s="96"/>
      <c r="I75" s="107"/>
      <c r="J75" s="14"/>
      <c r="K75" s="28" t="s">
        <v>27</v>
      </c>
      <c r="L75" s="23" t="s">
        <v>28</v>
      </c>
      <c r="M75" s="23" t="s">
        <v>29</v>
      </c>
      <c r="N75" s="23" t="s">
        <v>30</v>
      </c>
      <c r="O75" s="23" t="s">
        <v>31</v>
      </c>
      <c r="P75" s="23" t="s">
        <v>63</v>
      </c>
      <c r="Q75" s="23" t="s">
        <v>33</v>
      </c>
      <c r="R75" s="23" t="s">
        <v>34</v>
      </c>
    </row>
    <row r="76" spans="1:18" ht="29.25" customHeight="1" x14ac:dyDescent="0.25">
      <c r="A76" s="1">
        <v>181</v>
      </c>
      <c r="B76" s="1" t="s">
        <v>7</v>
      </c>
      <c r="C76" s="4" t="s">
        <v>127</v>
      </c>
      <c r="D76" s="30" t="s">
        <v>72</v>
      </c>
      <c r="E76" s="2">
        <v>33.85</v>
      </c>
      <c r="F76" s="2">
        <f>6.1*250/200</f>
        <v>7.625</v>
      </c>
      <c r="G76" s="2">
        <f>11.3*250/200</f>
        <v>14.125</v>
      </c>
      <c r="H76" s="2">
        <f>33.5*250/200</f>
        <v>41.875</v>
      </c>
      <c r="I76" s="2">
        <f>260*250/200</f>
        <v>325</v>
      </c>
      <c r="J76" s="41"/>
      <c r="K76" s="2">
        <f>192.2*250/200</f>
        <v>240.25</v>
      </c>
      <c r="L76" s="2">
        <f>23.5*250/200</f>
        <v>29.375</v>
      </c>
      <c r="M76" s="2">
        <f>156.1*250/200</f>
        <v>195.125</v>
      </c>
      <c r="N76" s="2">
        <f>0.3*250/200</f>
        <v>0.375</v>
      </c>
      <c r="O76" s="2">
        <f>36.7*250/200</f>
        <v>45.875</v>
      </c>
      <c r="P76" s="2">
        <f>0.1*250/200</f>
        <v>0.125</v>
      </c>
      <c r="Q76" s="2">
        <v>0</v>
      </c>
      <c r="R76" s="2">
        <f>1.1*250/200</f>
        <v>1.375</v>
      </c>
    </row>
    <row r="77" spans="1:18" ht="18" customHeight="1" x14ac:dyDescent="0.25">
      <c r="A77" s="1">
        <v>209</v>
      </c>
      <c r="B77" s="1" t="s">
        <v>8</v>
      </c>
      <c r="C77" s="25" t="s">
        <v>118</v>
      </c>
      <c r="D77" s="30">
        <v>40</v>
      </c>
      <c r="E77" s="2">
        <v>15</v>
      </c>
      <c r="F77" s="2">
        <v>6.6</v>
      </c>
      <c r="G77" s="2">
        <v>4.5999999999999996</v>
      </c>
      <c r="H77" s="2">
        <v>0.28000000000000003</v>
      </c>
      <c r="I77" s="2">
        <v>63</v>
      </c>
      <c r="J77" s="25"/>
      <c r="K77" s="2">
        <v>22</v>
      </c>
      <c r="L77" s="2">
        <v>4.8</v>
      </c>
      <c r="M77" s="2">
        <v>76.8</v>
      </c>
      <c r="N77" s="2">
        <v>1</v>
      </c>
      <c r="O77" s="2">
        <v>100</v>
      </c>
      <c r="P77" s="2">
        <v>0.03</v>
      </c>
      <c r="Q77" s="67">
        <v>0</v>
      </c>
      <c r="R77" s="67">
        <v>0</v>
      </c>
    </row>
    <row r="78" spans="1:18" ht="18" customHeight="1" x14ac:dyDescent="0.25">
      <c r="A78" s="1"/>
      <c r="B78" s="1" t="s">
        <v>9</v>
      </c>
      <c r="C78" s="5" t="s">
        <v>62</v>
      </c>
      <c r="D78" s="1">
        <v>50</v>
      </c>
      <c r="E78" s="2">
        <v>4.17</v>
      </c>
      <c r="F78" s="2">
        <v>3.95</v>
      </c>
      <c r="G78" s="2">
        <v>0.5</v>
      </c>
      <c r="H78" s="2">
        <v>24.15</v>
      </c>
      <c r="I78" s="2">
        <v>116.9</v>
      </c>
      <c r="J78" s="25"/>
      <c r="K78" s="2">
        <v>11.5</v>
      </c>
      <c r="L78" s="2">
        <v>16.5</v>
      </c>
      <c r="M78" s="2">
        <v>43.5</v>
      </c>
      <c r="N78" s="2">
        <v>0.55000000000000004</v>
      </c>
      <c r="O78" s="1">
        <v>0</v>
      </c>
      <c r="P78" s="2">
        <v>0.05</v>
      </c>
      <c r="Q78" s="2">
        <v>0.8</v>
      </c>
      <c r="R78" s="66">
        <v>0</v>
      </c>
    </row>
    <row r="79" spans="1:18" ht="18" customHeight="1" x14ac:dyDescent="0.25">
      <c r="A79" s="1">
        <v>376</v>
      </c>
      <c r="B79" s="1" t="s">
        <v>13</v>
      </c>
      <c r="C79" s="29" t="s">
        <v>115</v>
      </c>
      <c r="D79" s="1" t="s">
        <v>116</v>
      </c>
      <c r="E79" s="2">
        <v>3.9</v>
      </c>
      <c r="F79" s="2">
        <v>0.2</v>
      </c>
      <c r="G79" s="66">
        <v>0</v>
      </c>
      <c r="H79" s="2">
        <v>16</v>
      </c>
      <c r="I79" s="2">
        <v>65</v>
      </c>
      <c r="J79" s="41"/>
      <c r="K79" s="2">
        <v>5</v>
      </c>
      <c r="L79" s="66">
        <v>0</v>
      </c>
      <c r="M79" s="66">
        <v>0</v>
      </c>
      <c r="N79" s="2">
        <v>2</v>
      </c>
      <c r="O79" s="66">
        <v>0</v>
      </c>
      <c r="P79" s="66">
        <v>0</v>
      </c>
      <c r="Q79" s="2">
        <v>0.51</v>
      </c>
      <c r="R79" s="66">
        <f t="shared" ref="R79" si="5">0*30/50</f>
        <v>0</v>
      </c>
    </row>
    <row r="80" spans="1:18" ht="18" customHeight="1" x14ac:dyDescent="0.25">
      <c r="A80" s="111" t="s">
        <v>11</v>
      </c>
      <c r="B80" s="112"/>
      <c r="C80" s="113"/>
      <c r="D80" s="34">
        <v>557</v>
      </c>
      <c r="E80" s="12">
        <f t="shared" ref="E80:R80" si="6">SUM(E76:E79)</f>
        <v>56.92</v>
      </c>
      <c r="F80" s="12">
        <f t="shared" si="6"/>
        <v>18.375</v>
      </c>
      <c r="G80" s="12">
        <f t="shared" si="6"/>
        <v>19.225000000000001</v>
      </c>
      <c r="H80" s="12">
        <f t="shared" si="6"/>
        <v>82.305000000000007</v>
      </c>
      <c r="I80" s="12">
        <f t="shared" si="6"/>
        <v>569.9</v>
      </c>
      <c r="J80" s="12">
        <f t="shared" si="6"/>
        <v>0</v>
      </c>
      <c r="K80" s="12">
        <f t="shared" si="6"/>
        <v>278.75</v>
      </c>
      <c r="L80" s="12">
        <f t="shared" si="6"/>
        <v>50.674999999999997</v>
      </c>
      <c r="M80" s="12">
        <f t="shared" si="6"/>
        <v>315.42500000000001</v>
      </c>
      <c r="N80" s="12">
        <f t="shared" si="6"/>
        <v>3.9249999999999998</v>
      </c>
      <c r="O80" s="12">
        <f t="shared" si="6"/>
        <v>145.875</v>
      </c>
      <c r="P80" s="12">
        <f t="shared" si="6"/>
        <v>0.20500000000000002</v>
      </c>
      <c r="Q80" s="12">
        <f t="shared" si="6"/>
        <v>1.31</v>
      </c>
      <c r="R80" s="12">
        <f t="shared" si="6"/>
        <v>1.375</v>
      </c>
    </row>
    <row r="81" spans="1:18" ht="16.5" customHeight="1" x14ac:dyDescent="0.25">
      <c r="A81" s="94" t="s">
        <v>12</v>
      </c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118"/>
    </row>
    <row r="82" spans="1:18" ht="18" customHeight="1" x14ac:dyDescent="0.25">
      <c r="A82" s="93" t="s">
        <v>26</v>
      </c>
      <c r="B82" s="92" t="s">
        <v>0</v>
      </c>
      <c r="C82" s="93" t="s">
        <v>35</v>
      </c>
      <c r="D82" s="92" t="s">
        <v>66</v>
      </c>
      <c r="E82" s="92" t="s">
        <v>2</v>
      </c>
      <c r="F82" s="95" t="s">
        <v>55</v>
      </c>
      <c r="G82" s="95" t="s">
        <v>56</v>
      </c>
      <c r="H82" s="95" t="s">
        <v>57</v>
      </c>
      <c r="I82" s="92" t="s">
        <v>3</v>
      </c>
      <c r="J82" s="14"/>
      <c r="K82" s="7" t="s">
        <v>58</v>
      </c>
      <c r="L82" s="7"/>
      <c r="M82" s="7"/>
      <c r="N82" s="7"/>
      <c r="O82" s="92" t="s">
        <v>59</v>
      </c>
      <c r="P82" s="92"/>
      <c r="Q82" s="92"/>
      <c r="R82" s="92"/>
    </row>
    <row r="83" spans="1:18" ht="15" customHeight="1" x14ac:dyDescent="0.25">
      <c r="A83" s="93"/>
      <c r="B83" s="92"/>
      <c r="C83" s="93"/>
      <c r="D83" s="92"/>
      <c r="E83" s="92"/>
      <c r="F83" s="96"/>
      <c r="G83" s="96"/>
      <c r="H83" s="96"/>
      <c r="I83" s="92"/>
      <c r="J83" s="14"/>
      <c r="K83" s="28" t="s">
        <v>27</v>
      </c>
      <c r="L83" s="23" t="s">
        <v>28</v>
      </c>
      <c r="M83" s="23" t="s">
        <v>29</v>
      </c>
      <c r="N83" s="23" t="s">
        <v>30</v>
      </c>
      <c r="O83" s="23" t="s">
        <v>61</v>
      </c>
      <c r="P83" s="23" t="s">
        <v>32</v>
      </c>
      <c r="Q83" s="23" t="s">
        <v>33</v>
      </c>
      <c r="R83" s="23" t="s">
        <v>34</v>
      </c>
    </row>
    <row r="84" spans="1:18" ht="18" customHeight="1" x14ac:dyDescent="0.25">
      <c r="A84" s="1">
        <v>52</v>
      </c>
      <c r="B84" s="1" t="s">
        <v>7</v>
      </c>
      <c r="C84" s="5" t="s">
        <v>71</v>
      </c>
      <c r="D84" s="1">
        <v>100</v>
      </c>
      <c r="E84" s="2">
        <v>9.83</v>
      </c>
      <c r="F84" s="60">
        <v>1.7</v>
      </c>
      <c r="G84" s="60">
        <v>6</v>
      </c>
      <c r="H84" s="60">
        <v>11</v>
      </c>
      <c r="I84" s="2">
        <v>104</v>
      </c>
      <c r="J84" s="2"/>
      <c r="K84" s="2">
        <v>35.200000000000003</v>
      </c>
      <c r="L84" s="2">
        <v>20.8</v>
      </c>
      <c r="M84" s="2">
        <v>41</v>
      </c>
      <c r="N84" s="2">
        <v>1.3</v>
      </c>
      <c r="O84" s="66">
        <v>0</v>
      </c>
      <c r="P84" s="66">
        <v>0</v>
      </c>
      <c r="Q84" s="2">
        <v>0.2</v>
      </c>
      <c r="R84" s="2">
        <v>9.5</v>
      </c>
    </row>
    <row r="85" spans="1:18" ht="18" customHeight="1" x14ac:dyDescent="0.25">
      <c r="A85" s="1">
        <v>101</v>
      </c>
      <c r="B85" s="1" t="s">
        <v>8</v>
      </c>
      <c r="C85" s="5" t="s">
        <v>47</v>
      </c>
      <c r="D85" s="1">
        <v>250</v>
      </c>
      <c r="E85" s="2">
        <v>9.85</v>
      </c>
      <c r="F85" s="2">
        <f>2*250/200</f>
        <v>2.5</v>
      </c>
      <c r="G85" s="2">
        <f>2.7*250/200</f>
        <v>3.375</v>
      </c>
      <c r="H85" s="2">
        <f>20.9*250/200</f>
        <v>26.125</v>
      </c>
      <c r="I85" s="2">
        <f>116.3*250/200</f>
        <v>145.375</v>
      </c>
      <c r="J85" s="62"/>
      <c r="K85" s="2">
        <f>23.1*250/200</f>
        <v>28.875</v>
      </c>
      <c r="L85" s="2">
        <f>25*250/200</f>
        <v>31.25</v>
      </c>
      <c r="M85" s="2">
        <f>62.6*250/200</f>
        <v>78.25</v>
      </c>
      <c r="N85" s="2">
        <f>0.9*250/200</f>
        <v>1.125</v>
      </c>
      <c r="O85" s="2">
        <v>0</v>
      </c>
      <c r="P85" s="2">
        <f>0.1*250/200</f>
        <v>0.125</v>
      </c>
      <c r="Q85" s="2">
        <v>0</v>
      </c>
      <c r="R85" s="2">
        <f>8.25*250/200</f>
        <v>10.3125</v>
      </c>
    </row>
    <row r="86" spans="1:18" ht="18" customHeight="1" x14ac:dyDescent="0.25">
      <c r="A86" s="1">
        <v>260</v>
      </c>
      <c r="B86" s="1" t="s">
        <v>9</v>
      </c>
      <c r="C86" s="5" t="s">
        <v>93</v>
      </c>
      <c r="D86" s="30" t="s">
        <v>94</v>
      </c>
      <c r="E86" s="1">
        <v>159.75</v>
      </c>
      <c r="F86" s="1">
        <f>23.1*100/150</f>
        <v>15.4</v>
      </c>
      <c r="G86" s="3">
        <f>9.6*100/150</f>
        <v>6.4</v>
      </c>
      <c r="H86" s="1">
        <f>5.7*100/150</f>
        <v>3.8</v>
      </c>
      <c r="I86" s="3">
        <f>201*100/150</f>
        <v>134</v>
      </c>
      <c r="J86" s="70"/>
      <c r="K86" s="3">
        <f>23.7*100/150</f>
        <v>15.8</v>
      </c>
      <c r="L86" s="3">
        <f>25.2*100/150</f>
        <v>16.8</v>
      </c>
      <c r="M86" s="3">
        <f>188.4*100/150</f>
        <v>125.6</v>
      </c>
      <c r="N86" s="3">
        <f>2.1*100/150</f>
        <v>1.4</v>
      </c>
      <c r="O86" s="66">
        <v>0</v>
      </c>
      <c r="P86" s="3">
        <v>0.3</v>
      </c>
      <c r="Q86" s="66">
        <v>0</v>
      </c>
      <c r="R86" s="3">
        <v>1.2</v>
      </c>
    </row>
    <row r="87" spans="1:18" ht="18" customHeight="1" x14ac:dyDescent="0.25">
      <c r="A87" s="1">
        <v>171</v>
      </c>
      <c r="B87" s="1" t="s">
        <v>13</v>
      </c>
      <c r="C87" s="77" t="s">
        <v>121</v>
      </c>
      <c r="D87" s="1">
        <v>180</v>
      </c>
      <c r="E87" s="2">
        <v>16.57</v>
      </c>
      <c r="F87" s="2">
        <v>7.56</v>
      </c>
      <c r="G87" s="2">
        <v>11.88</v>
      </c>
      <c r="H87" s="2">
        <v>56.04</v>
      </c>
      <c r="I87" s="2">
        <v>300.89999999999998</v>
      </c>
      <c r="J87" s="41"/>
      <c r="K87" s="2">
        <v>136.69999999999999</v>
      </c>
      <c r="L87" s="2">
        <v>1.4</v>
      </c>
      <c r="M87" s="2">
        <v>22.2</v>
      </c>
      <c r="N87" s="2">
        <v>1.2</v>
      </c>
      <c r="O87" s="2">
        <v>1.2</v>
      </c>
      <c r="P87" s="2">
        <v>0.1</v>
      </c>
      <c r="Q87" s="2">
        <v>0</v>
      </c>
      <c r="R87" s="2">
        <v>0</v>
      </c>
    </row>
    <row r="88" spans="1:18" ht="18" customHeight="1" x14ac:dyDescent="0.25">
      <c r="A88" s="1">
        <v>1041</v>
      </c>
      <c r="B88" s="1" t="s">
        <v>14</v>
      </c>
      <c r="C88" s="25" t="s">
        <v>51</v>
      </c>
      <c r="D88" s="1">
        <v>200</v>
      </c>
      <c r="E88" s="2">
        <v>8.8000000000000007</v>
      </c>
      <c r="F88" s="2">
        <v>0.1</v>
      </c>
      <c r="G88" s="2">
        <v>0</v>
      </c>
      <c r="H88" s="2">
        <v>27.1</v>
      </c>
      <c r="I88" s="2">
        <v>108.6</v>
      </c>
      <c r="J88" s="49"/>
      <c r="K88" s="2">
        <v>23.52</v>
      </c>
      <c r="L88" s="2">
        <v>0</v>
      </c>
      <c r="M88" s="2">
        <v>0</v>
      </c>
      <c r="N88" s="2">
        <v>0.24</v>
      </c>
      <c r="O88" s="2">
        <v>0</v>
      </c>
      <c r="P88" s="2">
        <v>0.03</v>
      </c>
      <c r="Q88" s="2">
        <v>0</v>
      </c>
      <c r="R88" s="2">
        <v>12.9</v>
      </c>
    </row>
    <row r="89" spans="1:18" ht="18" customHeight="1" x14ac:dyDescent="0.25">
      <c r="A89" s="1"/>
      <c r="B89" s="1" t="s">
        <v>15</v>
      </c>
      <c r="C89" s="52" t="s">
        <v>76</v>
      </c>
      <c r="D89" s="30">
        <v>40</v>
      </c>
      <c r="E89" s="2">
        <v>3.33</v>
      </c>
      <c r="F89" s="2">
        <f>1.68*40/30</f>
        <v>2.2400000000000002</v>
      </c>
      <c r="G89" s="2">
        <f>0.33*40/30</f>
        <v>0.44000000000000006</v>
      </c>
      <c r="H89" s="2">
        <f>14.82*40/30</f>
        <v>19.759999999999998</v>
      </c>
      <c r="I89" s="2">
        <f>68.97*40/30</f>
        <v>91.960000000000008</v>
      </c>
      <c r="J89" s="41"/>
      <c r="K89" s="2">
        <f>6.9*40/30</f>
        <v>9.1999999999999993</v>
      </c>
      <c r="L89" s="2">
        <f>7.5*40/30</f>
        <v>10</v>
      </c>
      <c r="M89" s="2">
        <f>31.8*40/30</f>
        <v>42.4</v>
      </c>
      <c r="N89" s="2">
        <f>0.93*40/30</f>
        <v>1.24</v>
      </c>
      <c r="O89" s="66">
        <v>0</v>
      </c>
      <c r="P89" s="66">
        <v>0</v>
      </c>
      <c r="Q89" s="66">
        <v>0</v>
      </c>
      <c r="R89" s="66">
        <v>0</v>
      </c>
    </row>
    <row r="90" spans="1:18" ht="18" customHeight="1" x14ac:dyDescent="0.25">
      <c r="A90" s="1"/>
      <c r="B90" s="1" t="s">
        <v>64</v>
      </c>
      <c r="C90" s="5" t="s">
        <v>62</v>
      </c>
      <c r="D90" s="30">
        <v>70</v>
      </c>
      <c r="E90" s="33">
        <v>5.83</v>
      </c>
      <c r="F90" s="33">
        <f>2.37*70/30</f>
        <v>5.53</v>
      </c>
      <c r="G90" s="33">
        <f>0.3*70/30</f>
        <v>0.7</v>
      </c>
      <c r="H90" s="33">
        <f>14.49*70/30</f>
        <v>33.81</v>
      </c>
      <c r="I90" s="33">
        <f>70.14*70/30</f>
        <v>163.66</v>
      </c>
      <c r="J90" s="61"/>
      <c r="K90" s="33">
        <f>6.9*70/30</f>
        <v>16.100000000000001</v>
      </c>
      <c r="L90" s="33">
        <f>9.9*70/30</f>
        <v>23.1</v>
      </c>
      <c r="M90" s="33">
        <f>26.1*70/30</f>
        <v>60.9</v>
      </c>
      <c r="N90" s="33">
        <f>0.33*70/30</f>
        <v>0.77</v>
      </c>
      <c r="O90" s="67">
        <v>0</v>
      </c>
      <c r="P90" s="67">
        <v>0</v>
      </c>
      <c r="Q90" s="67">
        <v>0</v>
      </c>
      <c r="R90" s="67">
        <v>0</v>
      </c>
    </row>
    <row r="91" spans="1:18" ht="18" customHeight="1" x14ac:dyDescent="0.25">
      <c r="A91" s="97" t="s">
        <v>11</v>
      </c>
      <c r="B91" s="97"/>
      <c r="C91" s="97"/>
      <c r="D91" s="23">
        <v>970</v>
      </c>
      <c r="E91" s="12">
        <f t="shared" ref="E91:R91" si="7">SUM(E84:E90)</f>
        <v>213.96000000000004</v>
      </c>
      <c r="F91" s="12">
        <f t="shared" si="7"/>
        <v>35.03</v>
      </c>
      <c r="G91" s="12">
        <f t="shared" si="7"/>
        <v>28.795000000000002</v>
      </c>
      <c r="H91" s="12">
        <f t="shared" si="7"/>
        <v>177.63499999999999</v>
      </c>
      <c r="I91" s="12">
        <f t="shared" si="7"/>
        <v>1048.4950000000001</v>
      </c>
      <c r="J91" s="12">
        <f t="shared" si="7"/>
        <v>0</v>
      </c>
      <c r="K91" s="12">
        <f t="shared" si="7"/>
        <v>265.39499999999998</v>
      </c>
      <c r="L91" s="12">
        <f t="shared" si="7"/>
        <v>103.35</v>
      </c>
      <c r="M91" s="12">
        <f t="shared" si="7"/>
        <v>370.34999999999997</v>
      </c>
      <c r="N91" s="12">
        <f t="shared" si="7"/>
        <v>7.2750000000000004</v>
      </c>
      <c r="O91" s="12">
        <f t="shared" si="7"/>
        <v>1.2</v>
      </c>
      <c r="P91" s="12">
        <f t="shared" si="7"/>
        <v>0.55500000000000005</v>
      </c>
      <c r="Q91" s="12">
        <f t="shared" si="7"/>
        <v>0.2</v>
      </c>
      <c r="R91" s="12">
        <f t="shared" si="7"/>
        <v>33.912500000000001</v>
      </c>
    </row>
    <row r="92" spans="1:18" ht="18" customHeight="1" x14ac:dyDescent="0.25">
      <c r="A92" s="104" t="s">
        <v>17</v>
      </c>
      <c r="B92" s="104"/>
      <c r="C92" s="104"/>
      <c r="D92" s="104"/>
      <c r="E92" s="12">
        <f t="shared" ref="E92:R92" si="8">E80+E91</f>
        <v>270.88000000000005</v>
      </c>
      <c r="F92" s="12">
        <f t="shared" si="8"/>
        <v>53.405000000000001</v>
      </c>
      <c r="G92" s="12">
        <f t="shared" si="8"/>
        <v>48.02</v>
      </c>
      <c r="H92" s="12">
        <f t="shared" si="8"/>
        <v>259.94</v>
      </c>
      <c r="I92" s="12">
        <f t="shared" si="8"/>
        <v>1618.395</v>
      </c>
      <c r="J92" s="12">
        <f t="shared" si="8"/>
        <v>0</v>
      </c>
      <c r="K92" s="12">
        <f t="shared" si="8"/>
        <v>544.14499999999998</v>
      </c>
      <c r="L92" s="12">
        <f t="shared" si="8"/>
        <v>154.02499999999998</v>
      </c>
      <c r="M92" s="12">
        <f t="shared" si="8"/>
        <v>685.77499999999998</v>
      </c>
      <c r="N92" s="12">
        <f t="shared" si="8"/>
        <v>11.2</v>
      </c>
      <c r="O92" s="12">
        <f t="shared" si="8"/>
        <v>147.07499999999999</v>
      </c>
      <c r="P92" s="12">
        <f t="shared" si="8"/>
        <v>0.76</v>
      </c>
      <c r="Q92" s="12">
        <f t="shared" si="8"/>
        <v>1.51</v>
      </c>
      <c r="R92" s="12">
        <f t="shared" si="8"/>
        <v>35.287500000000001</v>
      </c>
    </row>
    <row r="93" spans="1:18" x14ac:dyDescent="0.25">
      <c r="A93" s="15"/>
      <c r="B93" s="15"/>
      <c r="C93" s="15"/>
      <c r="D93" s="15"/>
      <c r="E93" s="16"/>
      <c r="F93" s="17"/>
      <c r="G93" s="17"/>
      <c r="H93" s="18"/>
      <c r="I93" s="18"/>
      <c r="J93" s="19"/>
      <c r="K93" s="16"/>
      <c r="L93" s="16"/>
      <c r="M93" s="16"/>
      <c r="N93" s="16"/>
      <c r="O93" s="17"/>
      <c r="P93" s="17"/>
      <c r="Q93" s="16"/>
      <c r="R93" s="17"/>
    </row>
    <row r="94" spans="1:18" x14ac:dyDescent="0.25">
      <c r="A94" s="15"/>
      <c r="B94" s="15"/>
      <c r="C94" s="15"/>
      <c r="D94" s="15"/>
      <c r="E94" s="16"/>
      <c r="F94" s="17"/>
      <c r="G94" s="17"/>
      <c r="H94" s="18"/>
      <c r="I94" s="18"/>
      <c r="J94" s="19"/>
      <c r="K94" s="16"/>
      <c r="L94" s="16"/>
      <c r="M94" s="16"/>
      <c r="N94" s="16"/>
      <c r="O94" s="17"/>
      <c r="P94" s="17"/>
      <c r="Q94" s="16"/>
      <c r="R94" s="17"/>
    </row>
    <row r="95" spans="1:18" x14ac:dyDescent="0.25">
      <c r="A95" s="15"/>
      <c r="B95" s="15"/>
      <c r="C95" s="15"/>
      <c r="D95" s="15"/>
      <c r="E95" s="16"/>
      <c r="F95" s="17"/>
      <c r="G95" s="17"/>
      <c r="H95" s="18"/>
      <c r="I95" s="18"/>
      <c r="J95" s="19"/>
      <c r="K95" s="16"/>
      <c r="L95" s="16"/>
      <c r="M95" s="16"/>
      <c r="N95" s="16"/>
      <c r="O95" s="17"/>
      <c r="P95" s="17"/>
      <c r="Q95" s="16"/>
      <c r="R95" s="17"/>
    </row>
    <row r="96" spans="1:18" x14ac:dyDescent="0.25">
      <c r="A96" s="121" t="s">
        <v>37</v>
      </c>
      <c r="B96" s="121"/>
      <c r="C96" s="121"/>
      <c r="D96" s="15"/>
      <c r="E96" s="16"/>
      <c r="F96" s="17"/>
      <c r="G96" s="17"/>
      <c r="H96" s="18"/>
      <c r="I96" s="18"/>
      <c r="J96" s="19"/>
      <c r="K96" s="16"/>
      <c r="L96" s="16"/>
      <c r="M96" s="138" t="s">
        <v>103</v>
      </c>
      <c r="N96" s="138"/>
      <c r="O96" s="138"/>
      <c r="P96" s="138"/>
      <c r="Q96" s="138"/>
      <c r="R96" s="138"/>
    </row>
    <row r="97" spans="1:18" x14ac:dyDescent="0.25">
      <c r="A97" s="122" t="s">
        <v>48</v>
      </c>
      <c r="B97" s="122"/>
      <c r="C97" s="122"/>
      <c r="D97" s="15"/>
      <c r="E97" s="16"/>
      <c r="F97" s="17"/>
      <c r="G97" s="17"/>
      <c r="H97" s="18"/>
      <c r="I97" s="18"/>
      <c r="J97" s="19"/>
      <c r="K97" s="16"/>
      <c r="L97" s="16"/>
      <c r="M97" s="139" t="s">
        <v>111</v>
      </c>
      <c r="N97" s="139"/>
      <c r="O97" s="139"/>
      <c r="P97" s="139"/>
      <c r="Q97" s="139"/>
      <c r="R97" s="139"/>
    </row>
    <row r="98" spans="1:18" x14ac:dyDescent="0.25">
      <c r="A98" s="123" t="s">
        <v>100</v>
      </c>
      <c r="B98" s="123"/>
      <c r="C98" s="123"/>
      <c r="D98" s="15"/>
      <c r="E98" s="16"/>
      <c r="F98" s="17"/>
      <c r="G98" s="17"/>
      <c r="H98" s="18"/>
      <c r="I98" s="18"/>
      <c r="J98" s="19"/>
      <c r="K98" s="16"/>
      <c r="L98" s="16"/>
      <c r="M98" s="139" t="s">
        <v>106</v>
      </c>
      <c r="N98" s="139"/>
      <c r="O98" s="139"/>
      <c r="P98" s="139"/>
      <c r="Q98" s="139"/>
      <c r="R98" s="139"/>
    </row>
    <row r="99" spans="1:18" x14ac:dyDescent="0.25">
      <c r="A99" s="124" t="s">
        <v>128</v>
      </c>
      <c r="B99" s="124"/>
      <c r="C99" s="124"/>
      <c r="D99" s="15"/>
      <c r="E99" s="16"/>
      <c r="F99" s="17"/>
      <c r="G99" s="17"/>
      <c r="H99" s="18"/>
      <c r="I99" s="18"/>
      <c r="J99" s="19"/>
      <c r="K99" s="16"/>
      <c r="L99" s="16"/>
      <c r="M99" s="140" t="s">
        <v>130</v>
      </c>
      <c r="N99" s="140"/>
      <c r="O99" s="140"/>
      <c r="P99" s="140"/>
      <c r="Q99" s="140"/>
      <c r="R99" s="140"/>
    </row>
    <row r="100" spans="1:18" ht="18.75" x14ac:dyDescent="0.25">
      <c r="A100" s="115" t="s">
        <v>5</v>
      </c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</row>
    <row r="101" spans="1:18" ht="15.75" x14ac:dyDescent="0.25">
      <c r="A101" s="116" t="s">
        <v>6</v>
      </c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</row>
    <row r="102" spans="1:18" ht="15.75" x14ac:dyDescent="0.25">
      <c r="A102" s="117" t="s">
        <v>92</v>
      </c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</row>
    <row r="103" spans="1:18" ht="18" customHeight="1" x14ac:dyDescent="0.25">
      <c r="A103" s="101" t="s">
        <v>40</v>
      </c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3"/>
    </row>
    <row r="104" spans="1:18" ht="18" customHeight="1" x14ac:dyDescent="0.25">
      <c r="A104" s="94" t="s">
        <v>4</v>
      </c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</row>
    <row r="105" spans="1:18" ht="26.45" customHeight="1" x14ac:dyDescent="0.25">
      <c r="A105" s="93" t="s">
        <v>26</v>
      </c>
      <c r="B105" s="92" t="s">
        <v>0</v>
      </c>
      <c r="C105" s="93" t="s">
        <v>35</v>
      </c>
      <c r="D105" s="92" t="s">
        <v>65</v>
      </c>
      <c r="E105" s="92" t="s">
        <v>2</v>
      </c>
      <c r="F105" s="95" t="s">
        <v>55</v>
      </c>
      <c r="G105" s="95" t="s">
        <v>56</v>
      </c>
      <c r="H105" s="95" t="s">
        <v>57</v>
      </c>
      <c r="I105" s="92" t="s">
        <v>3</v>
      </c>
      <c r="J105" s="14"/>
      <c r="K105" s="7" t="s">
        <v>58</v>
      </c>
      <c r="L105" s="7"/>
      <c r="M105" s="7"/>
      <c r="N105" s="7"/>
      <c r="O105" s="92" t="s">
        <v>59</v>
      </c>
      <c r="P105" s="92"/>
      <c r="Q105" s="92"/>
      <c r="R105" s="92"/>
    </row>
    <row r="106" spans="1:18" ht="12.6" customHeight="1" x14ac:dyDescent="0.25">
      <c r="A106" s="93"/>
      <c r="B106" s="92"/>
      <c r="C106" s="93"/>
      <c r="D106" s="92"/>
      <c r="E106" s="92"/>
      <c r="F106" s="96"/>
      <c r="G106" s="96"/>
      <c r="H106" s="96"/>
      <c r="I106" s="92"/>
      <c r="J106" s="14"/>
      <c r="K106" s="28" t="s">
        <v>27</v>
      </c>
      <c r="L106" s="23" t="s">
        <v>28</v>
      </c>
      <c r="M106" s="23" t="s">
        <v>29</v>
      </c>
      <c r="N106" s="23" t="s">
        <v>30</v>
      </c>
      <c r="O106" s="23" t="s">
        <v>31</v>
      </c>
      <c r="P106" s="23" t="s">
        <v>63</v>
      </c>
      <c r="Q106" s="23" t="s">
        <v>33</v>
      </c>
      <c r="R106" s="23" t="s">
        <v>34</v>
      </c>
    </row>
    <row r="107" spans="1:18" ht="27" customHeight="1" x14ac:dyDescent="0.25">
      <c r="A107" s="85" t="s">
        <v>91</v>
      </c>
      <c r="B107" s="30" t="s">
        <v>7</v>
      </c>
      <c r="C107" s="90" t="s">
        <v>68</v>
      </c>
      <c r="D107" s="1" t="s">
        <v>94</v>
      </c>
      <c r="E107" s="2">
        <v>50.79</v>
      </c>
      <c r="F107" s="76">
        <v>7.99</v>
      </c>
      <c r="G107" s="76">
        <v>12.56</v>
      </c>
      <c r="H107" s="76">
        <v>10.6</v>
      </c>
      <c r="I107" s="2">
        <v>190.85</v>
      </c>
      <c r="J107" s="62"/>
      <c r="K107" s="2">
        <v>57.69</v>
      </c>
      <c r="L107" s="2">
        <v>12.76</v>
      </c>
      <c r="M107" s="2">
        <v>58.87</v>
      </c>
      <c r="N107" s="2">
        <v>21.23</v>
      </c>
      <c r="O107" s="2">
        <v>0.09</v>
      </c>
      <c r="P107" s="2">
        <v>0.11</v>
      </c>
      <c r="Q107" s="2">
        <v>2.11</v>
      </c>
      <c r="R107" s="2">
        <v>0.66</v>
      </c>
    </row>
    <row r="108" spans="1:18" ht="18.75" customHeight="1" x14ac:dyDescent="0.25">
      <c r="A108" s="1">
        <v>309</v>
      </c>
      <c r="B108" s="30" t="s">
        <v>8</v>
      </c>
      <c r="C108" s="77" t="s">
        <v>83</v>
      </c>
      <c r="D108" s="30">
        <v>180</v>
      </c>
      <c r="E108" s="2">
        <v>14.44</v>
      </c>
      <c r="F108" s="2">
        <f>5.52*180/150</f>
        <v>6.6239999999999997</v>
      </c>
      <c r="G108" s="2">
        <f>4.5*180/150</f>
        <v>5.4</v>
      </c>
      <c r="H108" s="2">
        <f>26.45*180/150</f>
        <v>31.74</v>
      </c>
      <c r="I108" s="2">
        <f>168.45*180/150</f>
        <v>202.14</v>
      </c>
      <c r="J108" s="49"/>
      <c r="K108" s="2">
        <f>4.86*180/150</f>
        <v>5.8320000000000007</v>
      </c>
      <c r="L108" s="2">
        <f>21.12*180/150</f>
        <v>25.344000000000001</v>
      </c>
      <c r="M108" s="2">
        <f>37.17*180/150</f>
        <v>44.603999999999999</v>
      </c>
      <c r="N108" s="2">
        <f>1.1025*180/150</f>
        <v>1.3230000000000002</v>
      </c>
      <c r="O108" s="66">
        <v>0</v>
      </c>
      <c r="P108" s="2">
        <f>0.0525*180/150</f>
        <v>6.3E-2</v>
      </c>
      <c r="Q108" s="2">
        <f>0.78*180/150</f>
        <v>0.93600000000000005</v>
      </c>
      <c r="R108" s="66">
        <v>0</v>
      </c>
    </row>
    <row r="109" spans="1:18" ht="17.25" customHeight="1" x14ac:dyDescent="0.25">
      <c r="A109" s="1"/>
      <c r="B109" s="1" t="s">
        <v>9</v>
      </c>
      <c r="C109" s="29" t="s">
        <v>62</v>
      </c>
      <c r="D109" s="30">
        <v>40</v>
      </c>
      <c r="E109" s="33">
        <v>3.33</v>
      </c>
      <c r="F109" s="33">
        <v>3.16</v>
      </c>
      <c r="G109" s="33">
        <v>0.4</v>
      </c>
      <c r="H109" s="33">
        <v>19.32</v>
      </c>
      <c r="I109" s="33">
        <v>93.52</v>
      </c>
      <c r="J109" s="61"/>
      <c r="K109" s="33">
        <v>9.1999999999999993</v>
      </c>
      <c r="L109" s="33">
        <v>13.2</v>
      </c>
      <c r="M109" s="33">
        <v>34.799999999999997</v>
      </c>
      <c r="N109" s="33">
        <v>0.44</v>
      </c>
      <c r="O109" s="67">
        <v>0</v>
      </c>
      <c r="P109" s="67">
        <v>0</v>
      </c>
      <c r="Q109" s="67">
        <v>0</v>
      </c>
      <c r="R109" s="67">
        <v>0</v>
      </c>
    </row>
    <row r="110" spans="1:18" ht="18" customHeight="1" x14ac:dyDescent="0.25">
      <c r="A110" s="1">
        <v>376</v>
      </c>
      <c r="B110" s="1" t="s">
        <v>13</v>
      </c>
      <c r="C110" s="25" t="s">
        <v>16</v>
      </c>
      <c r="D110" s="1">
        <v>200</v>
      </c>
      <c r="E110" s="2">
        <v>1.9</v>
      </c>
      <c r="F110" s="2">
        <v>0.1</v>
      </c>
      <c r="G110" s="2">
        <v>0</v>
      </c>
      <c r="H110" s="2">
        <v>15</v>
      </c>
      <c r="I110" s="2">
        <v>60</v>
      </c>
      <c r="J110" s="41"/>
      <c r="K110" s="2">
        <v>5</v>
      </c>
      <c r="L110" s="66">
        <v>0</v>
      </c>
      <c r="M110" s="66">
        <v>0</v>
      </c>
      <c r="N110" s="2">
        <v>2</v>
      </c>
      <c r="O110" s="66">
        <v>0</v>
      </c>
      <c r="P110" s="66">
        <v>0</v>
      </c>
      <c r="Q110" s="66">
        <v>0</v>
      </c>
      <c r="R110" s="66">
        <v>0</v>
      </c>
    </row>
    <row r="111" spans="1:18" ht="18" customHeight="1" x14ac:dyDescent="0.25">
      <c r="A111" s="97" t="s">
        <v>11</v>
      </c>
      <c r="B111" s="97"/>
      <c r="C111" s="97"/>
      <c r="D111" s="23">
        <v>550</v>
      </c>
      <c r="E111" s="12">
        <f>SUM(E106:E110)</f>
        <v>70.460000000000008</v>
      </c>
      <c r="F111" s="12">
        <f>SUM(F106:F110)</f>
        <v>17.874000000000002</v>
      </c>
      <c r="G111" s="12">
        <f>SUM(G106:G110)</f>
        <v>18.36</v>
      </c>
      <c r="H111" s="12">
        <f>SUM(H106:H110)</f>
        <v>76.66</v>
      </c>
      <c r="I111" s="12">
        <f>SUM(I106:I110)</f>
        <v>546.51</v>
      </c>
      <c r="J111" s="41"/>
      <c r="K111" s="12">
        <f t="shared" ref="K111:R111" si="9">SUM(K107:K110)</f>
        <v>77.721999999999994</v>
      </c>
      <c r="L111" s="12">
        <f t="shared" si="9"/>
        <v>51.304000000000002</v>
      </c>
      <c r="M111" s="12">
        <f t="shared" si="9"/>
        <v>138.274</v>
      </c>
      <c r="N111" s="12">
        <f t="shared" si="9"/>
        <v>24.993000000000002</v>
      </c>
      <c r="O111" s="12">
        <f t="shared" si="9"/>
        <v>0.09</v>
      </c>
      <c r="P111" s="12">
        <f t="shared" si="9"/>
        <v>0.17299999999999999</v>
      </c>
      <c r="Q111" s="12">
        <f t="shared" si="9"/>
        <v>3.0459999999999998</v>
      </c>
      <c r="R111" s="12">
        <f t="shared" si="9"/>
        <v>0.66</v>
      </c>
    </row>
    <row r="112" spans="1:18" ht="18" customHeight="1" x14ac:dyDescent="0.25">
      <c r="A112" s="118" t="s">
        <v>12</v>
      </c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20"/>
    </row>
    <row r="113" spans="1:18" ht="18" customHeight="1" x14ac:dyDescent="0.25">
      <c r="A113" s="93" t="s">
        <v>26</v>
      </c>
      <c r="B113" s="92" t="s">
        <v>0</v>
      </c>
      <c r="C113" s="93" t="s">
        <v>35</v>
      </c>
      <c r="D113" s="92" t="s">
        <v>65</v>
      </c>
      <c r="E113" s="92" t="s">
        <v>2</v>
      </c>
      <c r="F113" s="95" t="s">
        <v>55</v>
      </c>
      <c r="G113" s="95" t="s">
        <v>56</v>
      </c>
      <c r="H113" s="95" t="s">
        <v>57</v>
      </c>
      <c r="I113" s="92" t="s">
        <v>3</v>
      </c>
      <c r="J113" s="14"/>
      <c r="K113" s="7" t="s">
        <v>58</v>
      </c>
      <c r="L113" s="7"/>
      <c r="M113" s="7"/>
      <c r="N113" s="7"/>
      <c r="O113" s="92" t="s">
        <v>59</v>
      </c>
      <c r="P113" s="92"/>
      <c r="Q113" s="92"/>
      <c r="R113" s="92"/>
    </row>
    <row r="114" spans="1:18" ht="15" customHeight="1" x14ac:dyDescent="0.25">
      <c r="A114" s="93"/>
      <c r="B114" s="92"/>
      <c r="C114" s="93"/>
      <c r="D114" s="92"/>
      <c r="E114" s="92"/>
      <c r="F114" s="96"/>
      <c r="G114" s="96"/>
      <c r="H114" s="96"/>
      <c r="I114" s="92"/>
      <c r="J114" s="14"/>
      <c r="K114" s="28" t="s">
        <v>27</v>
      </c>
      <c r="L114" s="23" t="s">
        <v>28</v>
      </c>
      <c r="M114" s="23" t="s">
        <v>29</v>
      </c>
      <c r="N114" s="23" t="s">
        <v>30</v>
      </c>
      <c r="O114" s="23" t="s">
        <v>31</v>
      </c>
      <c r="P114" s="23" t="s">
        <v>63</v>
      </c>
      <c r="Q114" s="23" t="s">
        <v>33</v>
      </c>
      <c r="R114" s="23" t="s">
        <v>34</v>
      </c>
    </row>
    <row r="115" spans="1:18" ht="18" customHeight="1" x14ac:dyDescent="0.25">
      <c r="A115" s="1">
        <v>71</v>
      </c>
      <c r="B115" s="1">
        <v>1</v>
      </c>
      <c r="C115" s="5" t="s">
        <v>69</v>
      </c>
      <c r="D115" s="30">
        <v>100</v>
      </c>
      <c r="E115" s="2">
        <v>41.3</v>
      </c>
      <c r="F115" s="76">
        <v>1.2</v>
      </c>
      <c r="G115" s="76">
        <v>0.2</v>
      </c>
      <c r="H115" s="76">
        <v>4.5999999999999996</v>
      </c>
      <c r="I115" s="2">
        <v>26</v>
      </c>
      <c r="J115" s="62"/>
      <c r="K115" s="2">
        <v>14</v>
      </c>
      <c r="L115" s="2">
        <v>20</v>
      </c>
      <c r="M115" s="2">
        <v>0</v>
      </c>
      <c r="N115" s="2">
        <v>0.8</v>
      </c>
      <c r="O115" s="2">
        <v>0</v>
      </c>
      <c r="P115" s="2">
        <v>0</v>
      </c>
      <c r="Q115" s="2">
        <v>0</v>
      </c>
      <c r="R115" s="2">
        <v>17.5</v>
      </c>
    </row>
    <row r="116" spans="1:18" ht="18.75" customHeight="1" x14ac:dyDescent="0.25">
      <c r="A116" s="1">
        <v>88</v>
      </c>
      <c r="B116" s="1" t="s">
        <v>8</v>
      </c>
      <c r="C116" s="52" t="s">
        <v>19</v>
      </c>
      <c r="D116" s="30">
        <v>250</v>
      </c>
      <c r="E116" s="1">
        <v>12.82</v>
      </c>
      <c r="F116" s="2">
        <v>1.6</v>
      </c>
      <c r="G116" s="2">
        <v>4.9000000000000004</v>
      </c>
      <c r="H116" s="2">
        <v>11.5</v>
      </c>
      <c r="I116" s="2">
        <v>246</v>
      </c>
      <c r="J116" s="63"/>
      <c r="K116" s="2">
        <v>75.2</v>
      </c>
      <c r="L116" s="2">
        <v>14.7</v>
      </c>
      <c r="M116" s="2">
        <v>34.200000000000003</v>
      </c>
      <c r="N116" s="2">
        <v>1.0249999999999999</v>
      </c>
      <c r="O116" s="2">
        <v>1</v>
      </c>
      <c r="P116" s="2">
        <v>5.5</v>
      </c>
      <c r="Q116" s="2">
        <v>0.6</v>
      </c>
      <c r="R116" s="2">
        <v>9.5</v>
      </c>
    </row>
    <row r="117" spans="1:18" ht="18" customHeight="1" x14ac:dyDescent="0.25">
      <c r="A117" s="1">
        <v>229</v>
      </c>
      <c r="B117" s="1" t="s">
        <v>9</v>
      </c>
      <c r="C117" s="5" t="s">
        <v>95</v>
      </c>
      <c r="D117" s="30">
        <v>130</v>
      </c>
      <c r="E117" s="1">
        <v>40.07</v>
      </c>
      <c r="F117" s="2">
        <v>11.83</v>
      </c>
      <c r="G117" s="2">
        <v>14.24</v>
      </c>
      <c r="H117" s="2">
        <v>15.24</v>
      </c>
      <c r="I117" s="2">
        <v>128.69999999999999</v>
      </c>
      <c r="J117" s="63"/>
      <c r="K117" s="2">
        <v>46.14</v>
      </c>
      <c r="L117" s="2">
        <v>44.38</v>
      </c>
      <c r="M117" s="2">
        <v>168.49</v>
      </c>
      <c r="N117" s="2">
        <v>0.86</v>
      </c>
      <c r="O117" s="2">
        <v>1.98</v>
      </c>
      <c r="P117" s="2">
        <v>6.76</v>
      </c>
      <c r="Q117" s="2">
        <v>1.04</v>
      </c>
      <c r="R117" s="2">
        <v>3.12</v>
      </c>
    </row>
    <row r="118" spans="1:18" ht="18" customHeight="1" x14ac:dyDescent="0.25">
      <c r="A118" s="1">
        <v>312</v>
      </c>
      <c r="B118" s="1" t="s">
        <v>13</v>
      </c>
      <c r="C118" s="5" t="s">
        <v>110</v>
      </c>
      <c r="D118" s="1">
        <v>180</v>
      </c>
      <c r="E118" s="1">
        <v>26.92</v>
      </c>
      <c r="F118" s="2">
        <v>3.72</v>
      </c>
      <c r="G118" s="2">
        <v>6.12</v>
      </c>
      <c r="H118" s="2">
        <v>22.28</v>
      </c>
      <c r="I118" s="2">
        <v>159.12</v>
      </c>
      <c r="J118" s="63"/>
      <c r="K118" s="2">
        <v>204.48</v>
      </c>
      <c r="L118" s="2">
        <v>19.98</v>
      </c>
      <c r="M118" s="2">
        <v>131.97999999999999</v>
      </c>
      <c r="N118" s="2">
        <v>0.44</v>
      </c>
      <c r="O118" s="2">
        <v>0.32</v>
      </c>
      <c r="P118" s="2">
        <v>0.06</v>
      </c>
      <c r="Q118" s="2">
        <v>0.14000000000000001</v>
      </c>
      <c r="R118" s="2">
        <v>1.81</v>
      </c>
    </row>
    <row r="119" spans="1:18" ht="18" customHeight="1" x14ac:dyDescent="0.25">
      <c r="A119" s="1"/>
      <c r="B119" s="1" t="s">
        <v>14</v>
      </c>
      <c r="C119" s="52" t="s">
        <v>54</v>
      </c>
      <c r="D119" s="1">
        <v>200</v>
      </c>
      <c r="E119" s="2">
        <v>14</v>
      </c>
      <c r="F119" s="2">
        <v>0.2</v>
      </c>
      <c r="G119" s="2">
        <v>0</v>
      </c>
      <c r="H119" s="2">
        <v>3.9</v>
      </c>
      <c r="I119" s="2">
        <v>69</v>
      </c>
      <c r="J119" s="70"/>
      <c r="K119" s="2">
        <v>0.24</v>
      </c>
      <c r="L119" s="2">
        <v>0.2</v>
      </c>
      <c r="M119" s="2">
        <v>0.5</v>
      </c>
      <c r="N119" s="2">
        <v>7</v>
      </c>
      <c r="O119" s="66">
        <v>0</v>
      </c>
      <c r="P119" s="2">
        <v>0.1</v>
      </c>
      <c r="Q119" s="66">
        <v>0</v>
      </c>
      <c r="R119" s="2">
        <v>6</v>
      </c>
    </row>
    <row r="120" spans="1:18" ht="18" customHeight="1" x14ac:dyDescent="0.25">
      <c r="A120" s="1"/>
      <c r="B120" s="1" t="s">
        <v>15</v>
      </c>
      <c r="C120" s="52" t="s">
        <v>76</v>
      </c>
      <c r="D120" s="30">
        <v>40</v>
      </c>
      <c r="E120" s="2">
        <v>3.33</v>
      </c>
      <c r="F120" s="2">
        <f>1.68*40/30</f>
        <v>2.2400000000000002</v>
      </c>
      <c r="G120" s="2">
        <f>0.33*40/30</f>
        <v>0.44000000000000006</v>
      </c>
      <c r="H120" s="2">
        <f>14.82*40/30</f>
        <v>19.759999999999998</v>
      </c>
      <c r="I120" s="2">
        <f>68.97*40/30</f>
        <v>91.960000000000008</v>
      </c>
      <c r="J120" s="41"/>
      <c r="K120" s="2">
        <f>6.9*40/30</f>
        <v>9.1999999999999993</v>
      </c>
      <c r="L120" s="2">
        <f>7.5*40/30</f>
        <v>10</v>
      </c>
      <c r="M120" s="2">
        <f>31.8*40/30</f>
        <v>42.4</v>
      </c>
      <c r="N120" s="2">
        <f>0.93*40/30</f>
        <v>1.24</v>
      </c>
      <c r="O120" s="66">
        <v>0</v>
      </c>
      <c r="P120" s="66">
        <v>0</v>
      </c>
      <c r="Q120" s="66">
        <v>0</v>
      </c>
      <c r="R120" s="66">
        <v>0</v>
      </c>
    </row>
    <row r="121" spans="1:18" ht="18" customHeight="1" x14ac:dyDescent="0.25">
      <c r="A121" s="1"/>
      <c r="B121" s="1" t="s">
        <v>64</v>
      </c>
      <c r="C121" s="5" t="s">
        <v>62</v>
      </c>
      <c r="D121" s="30">
        <v>70</v>
      </c>
      <c r="E121" s="33">
        <v>5.83</v>
      </c>
      <c r="F121" s="33">
        <f>2.37*70/30</f>
        <v>5.53</v>
      </c>
      <c r="G121" s="33">
        <f>0.3*70/30</f>
        <v>0.7</v>
      </c>
      <c r="H121" s="33">
        <f>14.49*70/30</f>
        <v>33.81</v>
      </c>
      <c r="I121" s="33">
        <f>70.14*70/30</f>
        <v>163.66</v>
      </c>
      <c r="J121" s="61"/>
      <c r="K121" s="33">
        <f>6.9*70/30</f>
        <v>16.100000000000001</v>
      </c>
      <c r="L121" s="33">
        <f>9.9*70/30</f>
        <v>23.1</v>
      </c>
      <c r="M121" s="33">
        <f>26.1*70/30</f>
        <v>60.9</v>
      </c>
      <c r="N121" s="33">
        <f>0.33*70/30</f>
        <v>0.77</v>
      </c>
      <c r="O121" s="67">
        <v>0</v>
      </c>
      <c r="P121" s="67">
        <v>0</v>
      </c>
      <c r="Q121" s="67">
        <v>0</v>
      </c>
      <c r="R121" s="67">
        <v>0</v>
      </c>
    </row>
    <row r="122" spans="1:18" ht="18" customHeight="1" x14ac:dyDescent="0.25">
      <c r="A122" s="1">
        <v>386</v>
      </c>
      <c r="B122" s="1" t="s">
        <v>73</v>
      </c>
      <c r="C122" s="25" t="s">
        <v>74</v>
      </c>
      <c r="D122" s="1">
        <v>100</v>
      </c>
      <c r="E122" s="2">
        <v>15.45</v>
      </c>
      <c r="F122" s="2">
        <v>3</v>
      </c>
      <c r="G122" s="2">
        <v>1</v>
      </c>
      <c r="H122" s="2">
        <v>4.2</v>
      </c>
      <c r="I122" s="2">
        <v>40</v>
      </c>
      <c r="J122" s="2">
        <v>40</v>
      </c>
      <c r="K122" s="2">
        <v>124</v>
      </c>
      <c r="L122" s="2">
        <v>14</v>
      </c>
      <c r="M122" s="2">
        <v>92</v>
      </c>
      <c r="N122" s="2">
        <v>0.1</v>
      </c>
      <c r="O122" s="2">
        <v>0</v>
      </c>
      <c r="P122" s="2">
        <v>0.03</v>
      </c>
      <c r="Q122" s="2">
        <v>0.1</v>
      </c>
      <c r="R122" s="2">
        <v>0.3</v>
      </c>
    </row>
    <row r="123" spans="1:18" ht="18" customHeight="1" x14ac:dyDescent="0.25">
      <c r="A123" s="97" t="s">
        <v>11</v>
      </c>
      <c r="B123" s="97"/>
      <c r="C123" s="97"/>
      <c r="D123" s="23">
        <f>SUM(D115:D122)</f>
        <v>1070</v>
      </c>
      <c r="E123" s="12">
        <f t="shared" ref="E123:R123" si="10">SUM(E115:E122)</f>
        <v>159.72000000000003</v>
      </c>
      <c r="F123" s="12">
        <f t="shared" si="10"/>
        <v>29.32</v>
      </c>
      <c r="G123" s="12">
        <f t="shared" si="10"/>
        <v>27.6</v>
      </c>
      <c r="H123" s="12">
        <f t="shared" si="10"/>
        <v>115.29</v>
      </c>
      <c r="I123" s="12">
        <f t="shared" si="10"/>
        <v>924.43999999999994</v>
      </c>
      <c r="J123" s="12">
        <f t="shared" si="10"/>
        <v>40</v>
      </c>
      <c r="K123" s="12">
        <f t="shared" si="10"/>
        <v>489.36</v>
      </c>
      <c r="L123" s="12">
        <f t="shared" si="10"/>
        <v>146.36000000000001</v>
      </c>
      <c r="M123" s="12">
        <f t="shared" si="10"/>
        <v>530.46999999999991</v>
      </c>
      <c r="N123" s="12">
        <f t="shared" si="10"/>
        <v>12.234999999999999</v>
      </c>
      <c r="O123" s="12">
        <f t="shared" si="10"/>
        <v>3.3</v>
      </c>
      <c r="P123" s="12">
        <f t="shared" si="10"/>
        <v>12.45</v>
      </c>
      <c r="Q123" s="12">
        <f t="shared" si="10"/>
        <v>1.8800000000000003</v>
      </c>
      <c r="R123" s="12">
        <f t="shared" si="10"/>
        <v>38.229999999999997</v>
      </c>
    </row>
    <row r="124" spans="1:18" ht="18" customHeight="1" x14ac:dyDescent="0.25">
      <c r="A124" s="104" t="s">
        <v>17</v>
      </c>
      <c r="B124" s="104"/>
      <c r="C124" s="104"/>
      <c r="D124" s="104"/>
      <c r="E124" s="12">
        <f>E111+E123</f>
        <v>230.18000000000004</v>
      </c>
      <c r="F124" s="12">
        <f>F111+F123</f>
        <v>47.194000000000003</v>
      </c>
      <c r="G124" s="12">
        <f>G111+G123</f>
        <v>45.96</v>
      </c>
      <c r="H124" s="12">
        <f>H111+H123</f>
        <v>191.95</v>
      </c>
      <c r="I124" s="12">
        <f>I111+I123</f>
        <v>1470.9499999999998</v>
      </c>
      <c r="J124" s="41"/>
      <c r="K124" s="12">
        <f t="shared" ref="K124:R124" si="11">K111+K123</f>
        <v>567.08199999999999</v>
      </c>
      <c r="L124" s="12">
        <f t="shared" si="11"/>
        <v>197.66400000000002</v>
      </c>
      <c r="M124" s="12">
        <f t="shared" si="11"/>
        <v>668.74399999999991</v>
      </c>
      <c r="N124" s="12">
        <f t="shared" si="11"/>
        <v>37.228000000000002</v>
      </c>
      <c r="O124" s="12">
        <f t="shared" si="11"/>
        <v>3.3899999999999997</v>
      </c>
      <c r="P124" s="12">
        <f t="shared" si="11"/>
        <v>12.622999999999999</v>
      </c>
      <c r="Q124" s="12">
        <f t="shared" si="11"/>
        <v>4.9260000000000002</v>
      </c>
      <c r="R124" s="12">
        <f t="shared" si="11"/>
        <v>38.889999999999993</v>
      </c>
    </row>
    <row r="125" spans="1:18" x14ac:dyDescent="0.25">
      <c r="A125" s="15"/>
      <c r="B125" s="15"/>
      <c r="C125" s="15"/>
      <c r="D125" s="15"/>
      <c r="E125" s="17"/>
      <c r="F125" s="17"/>
      <c r="G125" s="17"/>
      <c r="H125" s="17"/>
      <c r="I125" s="17"/>
      <c r="J125" s="19"/>
      <c r="K125" s="17"/>
      <c r="L125" s="16"/>
      <c r="M125" s="17"/>
      <c r="N125" s="20"/>
      <c r="O125" s="17"/>
      <c r="P125" s="16"/>
      <c r="Q125" s="18"/>
      <c r="R125" s="18"/>
    </row>
    <row r="126" spans="1:18" x14ac:dyDescent="0.25">
      <c r="A126" s="15"/>
      <c r="B126" s="15"/>
      <c r="C126" s="15"/>
      <c r="D126" s="15"/>
      <c r="E126" s="17"/>
      <c r="F126" s="17"/>
      <c r="G126" s="17"/>
      <c r="H126" s="17"/>
      <c r="I126" s="17"/>
      <c r="J126" s="19"/>
      <c r="K126" s="17"/>
      <c r="L126" s="16"/>
      <c r="M126" s="17"/>
      <c r="N126" s="20"/>
      <c r="O126" s="17"/>
      <c r="P126" s="16"/>
      <c r="Q126" s="18"/>
      <c r="R126" s="18"/>
    </row>
    <row r="127" spans="1:18" x14ac:dyDescent="0.25">
      <c r="A127" s="15"/>
      <c r="B127" s="15"/>
      <c r="C127" s="15"/>
      <c r="D127" s="15"/>
      <c r="E127" s="17"/>
      <c r="F127" s="17"/>
      <c r="G127" s="17"/>
      <c r="H127" s="17"/>
      <c r="I127" s="17"/>
      <c r="J127" s="19"/>
      <c r="K127" s="17"/>
      <c r="L127" s="16"/>
      <c r="M127" s="17"/>
      <c r="N127" s="17"/>
      <c r="O127" s="17"/>
      <c r="P127" s="17"/>
      <c r="Q127" s="16"/>
      <c r="R127" s="17"/>
    </row>
    <row r="128" spans="1:18" x14ac:dyDescent="0.25">
      <c r="A128" s="121" t="s">
        <v>37</v>
      </c>
      <c r="B128" s="121"/>
      <c r="C128" s="121"/>
      <c r="D128" s="15"/>
      <c r="E128" s="17"/>
      <c r="F128" s="17"/>
      <c r="G128" s="17"/>
      <c r="H128" s="17"/>
      <c r="I128" s="17"/>
      <c r="J128" s="19"/>
      <c r="K128" s="17"/>
      <c r="L128" s="16"/>
      <c r="M128" s="138" t="s">
        <v>103</v>
      </c>
      <c r="N128" s="138"/>
      <c r="O128" s="138"/>
      <c r="P128" s="138"/>
      <c r="Q128" s="138"/>
      <c r="R128" s="138"/>
    </row>
    <row r="129" spans="1:18" x14ac:dyDescent="0.25">
      <c r="A129" s="122" t="s">
        <v>48</v>
      </c>
      <c r="B129" s="122"/>
      <c r="C129" s="122"/>
      <c r="D129" s="15"/>
      <c r="E129" s="17"/>
      <c r="F129" s="17"/>
      <c r="G129" s="17"/>
      <c r="H129" s="17"/>
      <c r="I129" s="17"/>
      <c r="J129" s="19"/>
      <c r="K129" s="17"/>
      <c r="L129" s="16"/>
      <c r="M129" s="139" t="s">
        <v>111</v>
      </c>
      <c r="N129" s="139"/>
      <c r="O129" s="139"/>
      <c r="P129" s="139"/>
      <c r="Q129" s="139"/>
      <c r="R129" s="139"/>
    </row>
    <row r="130" spans="1:18" x14ac:dyDescent="0.25">
      <c r="A130" s="123" t="s">
        <v>100</v>
      </c>
      <c r="B130" s="123"/>
      <c r="C130" s="123"/>
      <c r="D130" s="15"/>
      <c r="E130" s="17"/>
      <c r="F130" s="17"/>
      <c r="G130" s="17"/>
      <c r="H130" s="17"/>
      <c r="I130" s="17"/>
      <c r="J130" s="19"/>
      <c r="K130" s="17"/>
      <c r="L130" s="16"/>
      <c r="M130" s="139" t="s">
        <v>106</v>
      </c>
      <c r="N130" s="139"/>
      <c r="O130" s="139"/>
      <c r="P130" s="139"/>
      <c r="Q130" s="139"/>
      <c r="R130" s="139"/>
    </row>
    <row r="131" spans="1:18" x14ac:dyDescent="0.25">
      <c r="A131" s="124" t="s">
        <v>128</v>
      </c>
      <c r="B131" s="124"/>
      <c r="C131" s="124"/>
      <c r="D131" s="15"/>
      <c r="E131" s="17"/>
      <c r="F131" s="17"/>
      <c r="G131" s="17"/>
      <c r="H131" s="17"/>
      <c r="I131" s="17"/>
      <c r="J131" s="19"/>
      <c r="K131" s="17"/>
      <c r="L131" s="16"/>
      <c r="M131" s="140" t="s">
        <v>130</v>
      </c>
      <c r="N131" s="140"/>
      <c r="O131" s="140"/>
      <c r="P131" s="140"/>
      <c r="Q131" s="140"/>
      <c r="R131" s="140"/>
    </row>
    <row r="132" spans="1:18" ht="18.75" x14ac:dyDescent="0.25">
      <c r="A132" s="115" t="s">
        <v>5</v>
      </c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</row>
    <row r="133" spans="1:18" ht="15.75" x14ac:dyDescent="0.25">
      <c r="A133" s="116" t="s">
        <v>6</v>
      </c>
      <c r="B133" s="116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</row>
    <row r="134" spans="1:18" ht="15.75" x14ac:dyDescent="0.25">
      <c r="A134" s="117" t="s">
        <v>92</v>
      </c>
      <c r="B134" s="117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</row>
    <row r="135" spans="1:18" ht="18" customHeight="1" x14ac:dyDescent="0.25">
      <c r="A135" s="101" t="s">
        <v>41</v>
      </c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3"/>
    </row>
    <row r="136" spans="1:18" ht="18.75" customHeight="1" x14ac:dyDescent="0.25">
      <c r="A136" s="94" t="s">
        <v>4</v>
      </c>
      <c r="B136" s="94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</row>
    <row r="137" spans="1:18" ht="18" customHeight="1" x14ac:dyDescent="0.25">
      <c r="A137" s="93" t="s">
        <v>26</v>
      </c>
      <c r="B137" s="92" t="s">
        <v>0</v>
      </c>
      <c r="C137" s="93" t="s">
        <v>35</v>
      </c>
      <c r="D137" s="92" t="s">
        <v>66</v>
      </c>
      <c r="E137" s="92" t="s">
        <v>2</v>
      </c>
      <c r="F137" s="95" t="s">
        <v>55</v>
      </c>
      <c r="G137" s="95" t="s">
        <v>56</v>
      </c>
      <c r="H137" s="95" t="s">
        <v>57</v>
      </c>
      <c r="I137" s="92" t="s">
        <v>3</v>
      </c>
      <c r="J137" s="14"/>
      <c r="K137" s="7" t="s">
        <v>58</v>
      </c>
      <c r="L137" s="7"/>
      <c r="M137" s="7"/>
      <c r="N137" s="7"/>
      <c r="O137" s="92" t="s">
        <v>59</v>
      </c>
      <c r="P137" s="92"/>
      <c r="Q137" s="92"/>
      <c r="R137" s="92"/>
    </row>
    <row r="138" spans="1:18" ht="15" customHeight="1" x14ac:dyDescent="0.25">
      <c r="A138" s="93"/>
      <c r="B138" s="92"/>
      <c r="C138" s="93"/>
      <c r="D138" s="92"/>
      <c r="E138" s="92"/>
      <c r="F138" s="96"/>
      <c r="G138" s="96"/>
      <c r="H138" s="96"/>
      <c r="I138" s="92"/>
      <c r="J138" s="14"/>
      <c r="K138" s="28" t="s">
        <v>27</v>
      </c>
      <c r="L138" s="23" t="s">
        <v>28</v>
      </c>
      <c r="M138" s="23" t="s">
        <v>29</v>
      </c>
      <c r="N138" s="23" t="s">
        <v>30</v>
      </c>
      <c r="O138" s="23" t="s">
        <v>31</v>
      </c>
      <c r="P138" s="23" t="s">
        <v>63</v>
      </c>
      <c r="Q138" s="23" t="s">
        <v>33</v>
      </c>
      <c r="R138" s="23" t="s">
        <v>34</v>
      </c>
    </row>
    <row r="139" spans="1:18" ht="18.75" customHeight="1" x14ac:dyDescent="0.25">
      <c r="A139" s="26">
        <v>174</v>
      </c>
      <c r="B139" s="1" t="s">
        <v>7</v>
      </c>
      <c r="C139" s="5" t="s">
        <v>119</v>
      </c>
      <c r="D139" s="30" t="s">
        <v>72</v>
      </c>
      <c r="E139" s="1">
        <v>38.26</v>
      </c>
      <c r="F139" s="1">
        <v>9.75</v>
      </c>
      <c r="G139" s="1">
        <v>18.2</v>
      </c>
      <c r="H139" s="2">
        <v>73.12</v>
      </c>
      <c r="I139" s="2">
        <v>495.63</v>
      </c>
      <c r="J139" s="41"/>
      <c r="K139" s="2">
        <v>241.43</v>
      </c>
      <c r="L139" s="2">
        <v>53.36</v>
      </c>
      <c r="M139" s="2">
        <v>118.86</v>
      </c>
      <c r="N139" s="2">
        <v>0.74</v>
      </c>
      <c r="O139" s="2">
        <v>0.12</v>
      </c>
      <c r="P139" s="2">
        <v>0.12</v>
      </c>
      <c r="Q139" s="66">
        <v>0</v>
      </c>
      <c r="R139" s="2">
        <v>1.1100000000000001</v>
      </c>
    </row>
    <row r="140" spans="1:18" ht="18" customHeight="1" x14ac:dyDescent="0.25">
      <c r="A140" s="1">
        <v>209</v>
      </c>
      <c r="B140" s="1" t="s">
        <v>8</v>
      </c>
      <c r="C140" s="25" t="s">
        <v>118</v>
      </c>
      <c r="D140" s="30">
        <v>40</v>
      </c>
      <c r="E140" s="2">
        <v>15</v>
      </c>
      <c r="F140" s="2">
        <v>5.08</v>
      </c>
      <c r="G140" s="2">
        <v>4.5999999999999996</v>
      </c>
      <c r="H140" s="2">
        <v>0.28000000000000003</v>
      </c>
      <c r="I140" s="2">
        <v>63</v>
      </c>
      <c r="J140" s="25"/>
      <c r="K140" s="2">
        <v>22</v>
      </c>
      <c r="L140" s="2">
        <v>4.8</v>
      </c>
      <c r="M140" s="2">
        <v>76.8</v>
      </c>
      <c r="N140" s="2">
        <v>1</v>
      </c>
      <c r="O140" s="2">
        <v>100</v>
      </c>
      <c r="P140" s="2">
        <v>0.03</v>
      </c>
      <c r="Q140" s="2">
        <v>0.08</v>
      </c>
      <c r="R140" s="66">
        <v>0</v>
      </c>
    </row>
    <row r="141" spans="1:18" ht="18" customHeight="1" x14ac:dyDescent="0.25">
      <c r="A141" s="1"/>
      <c r="B141" s="1" t="s">
        <v>9</v>
      </c>
      <c r="C141" s="5" t="s">
        <v>62</v>
      </c>
      <c r="D141" s="1">
        <v>55</v>
      </c>
      <c r="E141" s="2">
        <v>4.58</v>
      </c>
      <c r="F141" s="2">
        <v>4.3499999999999996</v>
      </c>
      <c r="G141" s="2">
        <v>0.55000000000000004</v>
      </c>
      <c r="H141" s="2">
        <v>26.56</v>
      </c>
      <c r="I141" s="2">
        <v>128.59</v>
      </c>
      <c r="J141" s="25"/>
      <c r="K141" s="2">
        <v>12.65</v>
      </c>
      <c r="L141" s="2">
        <v>18.149999999999999</v>
      </c>
      <c r="M141" s="2">
        <v>47.85</v>
      </c>
      <c r="N141" s="2">
        <v>0.61</v>
      </c>
      <c r="O141" s="1">
        <v>0</v>
      </c>
      <c r="P141" s="66">
        <v>0</v>
      </c>
      <c r="Q141" s="66">
        <v>0</v>
      </c>
      <c r="R141" s="66">
        <v>0</v>
      </c>
    </row>
    <row r="142" spans="1:18" ht="18" customHeight="1" x14ac:dyDescent="0.25">
      <c r="A142" s="1">
        <v>379</v>
      </c>
      <c r="B142" s="1" t="s">
        <v>13</v>
      </c>
      <c r="C142" s="5" t="s">
        <v>18</v>
      </c>
      <c r="D142" s="1">
        <v>200</v>
      </c>
      <c r="E142" s="2">
        <v>17.95</v>
      </c>
      <c r="F142" s="2">
        <v>3.6</v>
      </c>
      <c r="G142" s="2">
        <v>2.7</v>
      </c>
      <c r="H142" s="2">
        <v>28.3</v>
      </c>
      <c r="I142" s="2">
        <v>151.80000000000001</v>
      </c>
      <c r="J142" s="49"/>
      <c r="K142" s="2">
        <v>100.3</v>
      </c>
      <c r="L142" s="2">
        <v>11.7</v>
      </c>
      <c r="M142" s="2">
        <v>75</v>
      </c>
      <c r="N142" s="2">
        <v>0.1</v>
      </c>
      <c r="O142" s="66">
        <v>0</v>
      </c>
      <c r="P142" s="2">
        <v>4.7</v>
      </c>
      <c r="Q142" s="2">
        <v>0.1</v>
      </c>
      <c r="R142" s="2">
        <v>1.1000000000000001</v>
      </c>
    </row>
    <row r="143" spans="1:18" ht="18" customHeight="1" x14ac:dyDescent="0.25">
      <c r="A143" s="97" t="s">
        <v>11</v>
      </c>
      <c r="B143" s="97"/>
      <c r="C143" s="97"/>
      <c r="D143" s="23">
        <v>555</v>
      </c>
      <c r="E143" s="12">
        <f t="shared" ref="E143:R143" si="12">SUM(E139:E142)</f>
        <v>75.789999999999992</v>
      </c>
      <c r="F143" s="12">
        <f t="shared" si="12"/>
        <v>22.78</v>
      </c>
      <c r="G143" s="12">
        <f t="shared" si="12"/>
        <v>26.049999999999997</v>
      </c>
      <c r="H143" s="12">
        <f t="shared" si="12"/>
        <v>128.26000000000002</v>
      </c>
      <c r="I143" s="12">
        <f t="shared" si="12"/>
        <v>839.02</v>
      </c>
      <c r="J143" s="12">
        <f t="shared" si="12"/>
        <v>0</v>
      </c>
      <c r="K143" s="12">
        <f t="shared" si="12"/>
        <v>376.38</v>
      </c>
      <c r="L143" s="12">
        <f t="shared" si="12"/>
        <v>88.01</v>
      </c>
      <c r="M143" s="12">
        <f t="shared" si="12"/>
        <v>318.51</v>
      </c>
      <c r="N143" s="12">
        <f t="shared" si="12"/>
        <v>2.4500000000000002</v>
      </c>
      <c r="O143" s="12">
        <f t="shared" si="12"/>
        <v>100.12</v>
      </c>
      <c r="P143" s="12">
        <f t="shared" si="12"/>
        <v>4.8500000000000005</v>
      </c>
      <c r="Q143" s="12">
        <f t="shared" si="12"/>
        <v>0.18</v>
      </c>
      <c r="R143" s="12">
        <f t="shared" si="12"/>
        <v>2.21</v>
      </c>
    </row>
    <row r="144" spans="1:18" ht="18" customHeight="1" x14ac:dyDescent="0.25">
      <c r="A144" s="94" t="s">
        <v>12</v>
      </c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</row>
    <row r="145" spans="1:18" ht="18" customHeight="1" x14ac:dyDescent="0.25">
      <c r="A145" s="93" t="s">
        <v>26</v>
      </c>
      <c r="B145" s="92" t="s">
        <v>0</v>
      </c>
      <c r="C145" s="93" t="s">
        <v>35</v>
      </c>
      <c r="D145" s="92" t="s">
        <v>66</v>
      </c>
      <c r="E145" s="92" t="s">
        <v>2</v>
      </c>
      <c r="F145" s="95" t="s">
        <v>55</v>
      </c>
      <c r="G145" s="95" t="s">
        <v>56</v>
      </c>
      <c r="H145" s="95" t="s">
        <v>57</v>
      </c>
      <c r="I145" s="92" t="s">
        <v>3</v>
      </c>
      <c r="J145" s="14"/>
      <c r="K145" s="7" t="s">
        <v>58</v>
      </c>
      <c r="L145" s="7"/>
      <c r="M145" s="7"/>
      <c r="N145" s="7"/>
      <c r="O145" s="92" t="s">
        <v>59</v>
      </c>
      <c r="P145" s="92"/>
      <c r="Q145" s="92"/>
      <c r="R145" s="92"/>
    </row>
    <row r="146" spans="1:18" ht="15.75" customHeight="1" x14ac:dyDescent="0.25">
      <c r="A146" s="93"/>
      <c r="B146" s="92"/>
      <c r="C146" s="93"/>
      <c r="D146" s="92"/>
      <c r="E146" s="92"/>
      <c r="F146" s="96"/>
      <c r="G146" s="96"/>
      <c r="H146" s="96"/>
      <c r="I146" s="92"/>
      <c r="J146" s="14"/>
      <c r="K146" s="28" t="s">
        <v>27</v>
      </c>
      <c r="L146" s="23" t="s">
        <v>28</v>
      </c>
      <c r="M146" s="23" t="s">
        <v>29</v>
      </c>
      <c r="N146" s="23" t="s">
        <v>30</v>
      </c>
      <c r="O146" s="23" t="s">
        <v>31</v>
      </c>
      <c r="P146" s="23" t="s">
        <v>63</v>
      </c>
      <c r="Q146" s="23" t="s">
        <v>33</v>
      </c>
      <c r="R146" s="23" t="s">
        <v>34</v>
      </c>
    </row>
    <row r="147" spans="1:18" ht="21" customHeight="1" x14ac:dyDescent="0.25">
      <c r="A147" s="1">
        <v>71</v>
      </c>
      <c r="B147" s="1" t="s">
        <v>7</v>
      </c>
      <c r="C147" s="5" t="s">
        <v>70</v>
      </c>
      <c r="D147" s="1">
        <v>100</v>
      </c>
      <c r="E147" s="2">
        <v>36.82</v>
      </c>
      <c r="F147" s="76">
        <v>0.8</v>
      </c>
      <c r="G147" s="76">
        <v>0</v>
      </c>
      <c r="H147" s="76">
        <v>3.3</v>
      </c>
      <c r="I147" s="2">
        <v>16</v>
      </c>
      <c r="J147" s="62"/>
      <c r="K147" s="2">
        <v>23</v>
      </c>
      <c r="L147" s="2">
        <v>0</v>
      </c>
      <c r="M147" s="2">
        <v>0</v>
      </c>
      <c r="N147" s="2">
        <v>0.5</v>
      </c>
      <c r="O147" s="2">
        <v>0</v>
      </c>
      <c r="P147" s="2">
        <v>0</v>
      </c>
      <c r="Q147" s="2">
        <v>0</v>
      </c>
      <c r="R147" s="2">
        <v>5</v>
      </c>
    </row>
    <row r="148" spans="1:18" ht="17.25" customHeight="1" x14ac:dyDescent="0.25">
      <c r="A148" s="1">
        <v>102</v>
      </c>
      <c r="B148" s="1" t="s">
        <v>8</v>
      </c>
      <c r="C148" s="52" t="s">
        <v>99</v>
      </c>
      <c r="D148" s="30">
        <v>250</v>
      </c>
      <c r="E148" s="2">
        <v>8.9499999999999993</v>
      </c>
      <c r="F148" s="2">
        <f>5.1*250/200</f>
        <v>6.375</v>
      </c>
      <c r="G148" s="2">
        <f>5.4*250/200</f>
        <v>6.75</v>
      </c>
      <c r="H148" s="2">
        <f>23.9*250/200</f>
        <v>29.875</v>
      </c>
      <c r="I148" s="2">
        <f>163.8*250/200</f>
        <v>204.75</v>
      </c>
      <c r="J148" s="63"/>
      <c r="K148" s="2">
        <f>45.8*250/200</f>
        <v>57.25</v>
      </c>
      <c r="L148" s="2">
        <f>35.5*250/200</f>
        <v>44.375</v>
      </c>
      <c r="M148" s="2">
        <v>0</v>
      </c>
      <c r="N148" s="2">
        <f>4.6*250/200</f>
        <v>5.75</v>
      </c>
      <c r="O148" s="2">
        <v>0</v>
      </c>
      <c r="P148" s="2">
        <v>0</v>
      </c>
      <c r="Q148" s="2">
        <v>0</v>
      </c>
      <c r="R148" s="2">
        <f>11.2*250/200</f>
        <v>14</v>
      </c>
    </row>
    <row r="149" spans="1:18" ht="18.75" customHeight="1" x14ac:dyDescent="0.25">
      <c r="A149" s="30">
        <v>259</v>
      </c>
      <c r="B149" s="30" t="s">
        <v>9</v>
      </c>
      <c r="C149" s="77" t="s">
        <v>107</v>
      </c>
      <c r="D149" s="1">
        <v>280</v>
      </c>
      <c r="E149" s="2">
        <v>175.39</v>
      </c>
      <c r="F149" s="2">
        <v>27.35</v>
      </c>
      <c r="G149" s="2">
        <v>13.48</v>
      </c>
      <c r="H149" s="2">
        <v>33.6</v>
      </c>
      <c r="I149" s="2">
        <v>356.79</v>
      </c>
      <c r="J149" s="63"/>
      <c r="K149" s="2">
        <v>36.33</v>
      </c>
      <c r="L149" s="2">
        <v>76.650000000000006</v>
      </c>
      <c r="M149" s="2">
        <v>393.12</v>
      </c>
      <c r="N149" s="2">
        <v>4.6399999999999997</v>
      </c>
      <c r="O149" s="2">
        <v>28</v>
      </c>
      <c r="P149" s="2">
        <v>0.32</v>
      </c>
      <c r="Q149" s="66">
        <v>0</v>
      </c>
      <c r="R149" s="2">
        <v>10.4</v>
      </c>
    </row>
    <row r="150" spans="1:18" ht="18.75" customHeight="1" x14ac:dyDescent="0.25">
      <c r="A150" s="1">
        <v>349</v>
      </c>
      <c r="B150" s="1" t="s">
        <v>13</v>
      </c>
      <c r="C150" s="52" t="s">
        <v>49</v>
      </c>
      <c r="D150" s="30">
        <v>200</v>
      </c>
      <c r="E150" s="1">
        <v>6.22</v>
      </c>
      <c r="F150" s="2">
        <v>0.6</v>
      </c>
      <c r="G150" s="2">
        <v>0.09</v>
      </c>
      <c r="H150" s="2">
        <v>32.01</v>
      </c>
      <c r="I150" s="2">
        <v>132.80000000000001</v>
      </c>
      <c r="J150" s="41"/>
      <c r="K150" s="2">
        <v>32.479999999999997</v>
      </c>
      <c r="L150" s="2">
        <v>17.46</v>
      </c>
      <c r="M150" s="2">
        <v>23.44</v>
      </c>
      <c r="N150" s="2">
        <v>0.7</v>
      </c>
      <c r="O150" s="2">
        <v>0</v>
      </c>
      <c r="P150" s="2">
        <v>0.02</v>
      </c>
      <c r="Q150" s="2">
        <v>0.26</v>
      </c>
      <c r="R150" s="2">
        <v>0.73</v>
      </c>
    </row>
    <row r="151" spans="1:18" ht="18.75" customHeight="1" x14ac:dyDescent="0.25">
      <c r="A151" s="1"/>
      <c r="B151" s="32" t="s">
        <v>14</v>
      </c>
      <c r="C151" s="52" t="s">
        <v>76</v>
      </c>
      <c r="D151" s="30">
        <v>40</v>
      </c>
      <c r="E151" s="2">
        <v>3.33</v>
      </c>
      <c r="F151" s="2">
        <f>1.68*40/30</f>
        <v>2.2400000000000002</v>
      </c>
      <c r="G151" s="2">
        <f>0.33*40/30</f>
        <v>0.44000000000000006</v>
      </c>
      <c r="H151" s="2">
        <f>14.82*40/30</f>
        <v>19.759999999999998</v>
      </c>
      <c r="I151" s="2">
        <f>68.97*40/30</f>
        <v>91.960000000000008</v>
      </c>
      <c r="J151" s="41"/>
      <c r="K151" s="2">
        <f>6.9*40/30</f>
        <v>9.1999999999999993</v>
      </c>
      <c r="L151" s="2">
        <f>7.5*40/30</f>
        <v>10</v>
      </c>
      <c r="M151" s="2">
        <f>31.8*40/30</f>
        <v>42.4</v>
      </c>
      <c r="N151" s="2">
        <f>0.93*40/30</f>
        <v>1.24</v>
      </c>
      <c r="O151" s="66">
        <v>0</v>
      </c>
      <c r="P151" s="66">
        <v>0</v>
      </c>
      <c r="Q151" s="66">
        <v>0</v>
      </c>
      <c r="R151" s="66">
        <v>0</v>
      </c>
    </row>
    <row r="152" spans="1:18" ht="18.75" customHeight="1" x14ac:dyDescent="0.25">
      <c r="A152" s="1"/>
      <c r="B152" s="32" t="s">
        <v>15</v>
      </c>
      <c r="C152" s="5" t="s">
        <v>62</v>
      </c>
      <c r="D152" s="30">
        <v>70</v>
      </c>
      <c r="E152" s="33">
        <v>5.83</v>
      </c>
      <c r="F152" s="33">
        <f>2.37*70/30</f>
        <v>5.53</v>
      </c>
      <c r="G152" s="33">
        <f>0.3*70/30</f>
        <v>0.7</v>
      </c>
      <c r="H152" s="33">
        <f>14.49*70/30</f>
        <v>33.81</v>
      </c>
      <c r="I152" s="33">
        <f>70.14*70/30</f>
        <v>163.66</v>
      </c>
      <c r="J152" s="61"/>
      <c r="K152" s="33">
        <f>6.9*70/30</f>
        <v>16.100000000000001</v>
      </c>
      <c r="L152" s="33">
        <f>9.9*70/30</f>
        <v>23.1</v>
      </c>
      <c r="M152" s="33">
        <f>26.1*70/30</f>
        <v>60.9</v>
      </c>
      <c r="N152" s="33">
        <f>0.33*70/30</f>
        <v>0.77</v>
      </c>
      <c r="O152" s="67">
        <v>0</v>
      </c>
      <c r="P152" s="67">
        <v>0</v>
      </c>
      <c r="Q152" s="67">
        <v>0</v>
      </c>
      <c r="R152" s="67">
        <v>0</v>
      </c>
    </row>
    <row r="153" spans="1:18" ht="18.75" customHeight="1" x14ac:dyDescent="0.25">
      <c r="A153" s="1"/>
      <c r="B153" s="1" t="s">
        <v>64</v>
      </c>
      <c r="C153" s="25" t="s">
        <v>117</v>
      </c>
      <c r="D153" s="30">
        <v>180</v>
      </c>
      <c r="E153" s="2">
        <v>36</v>
      </c>
      <c r="F153" s="2">
        <v>0.72</v>
      </c>
      <c r="G153" s="1">
        <v>0</v>
      </c>
      <c r="H153" s="1">
        <v>22.68</v>
      </c>
      <c r="I153" s="3">
        <v>93.6</v>
      </c>
      <c r="J153" s="25"/>
      <c r="K153" s="3">
        <v>10.8</v>
      </c>
      <c r="L153" s="3">
        <v>9</v>
      </c>
      <c r="M153" s="3">
        <v>19.8</v>
      </c>
      <c r="N153" s="2">
        <v>0.18</v>
      </c>
      <c r="O153" s="3">
        <v>102.6</v>
      </c>
      <c r="P153" s="66">
        <v>0</v>
      </c>
      <c r="Q153" s="66">
        <v>0</v>
      </c>
      <c r="R153" s="2">
        <v>8.3699999999999992</v>
      </c>
    </row>
    <row r="154" spans="1:18" ht="18.75" customHeight="1" x14ac:dyDescent="0.25">
      <c r="A154" s="1">
        <v>386</v>
      </c>
      <c r="B154" s="1" t="s">
        <v>73</v>
      </c>
      <c r="C154" s="25" t="s">
        <v>74</v>
      </c>
      <c r="D154" s="1">
        <v>100</v>
      </c>
      <c r="E154" s="2">
        <v>15.45</v>
      </c>
      <c r="F154" s="2">
        <v>3</v>
      </c>
      <c r="G154" s="2">
        <v>1</v>
      </c>
      <c r="H154" s="2">
        <v>4.2</v>
      </c>
      <c r="I154" s="2">
        <v>40</v>
      </c>
      <c r="J154" s="2">
        <v>40</v>
      </c>
      <c r="K154" s="2">
        <v>124</v>
      </c>
      <c r="L154" s="2">
        <v>14</v>
      </c>
      <c r="M154" s="2">
        <v>92</v>
      </c>
      <c r="N154" s="2">
        <v>0.1</v>
      </c>
      <c r="O154" s="2">
        <v>0</v>
      </c>
      <c r="P154" s="2">
        <v>0.03</v>
      </c>
      <c r="Q154" s="2">
        <v>0.1</v>
      </c>
      <c r="R154" s="2">
        <v>0.3</v>
      </c>
    </row>
    <row r="155" spans="1:18" ht="18" customHeight="1" x14ac:dyDescent="0.25">
      <c r="A155" s="97" t="s">
        <v>11</v>
      </c>
      <c r="B155" s="97"/>
      <c r="C155" s="97"/>
      <c r="D155" s="23">
        <f>SUM(D147:D154)</f>
        <v>1220</v>
      </c>
      <c r="E155" s="12">
        <f t="shared" ref="E155:R155" si="13">SUM(E147:E154)</f>
        <v>287.98999999999995</v>
      </c>
      <c r="F155" s="12">
        <f t="shared" si="13"/>
        <v>46.615000000000002</v>
      </c>
      <c r="G155" s="12">
        <f t="shared" si="13"/>
        <v>22.46</v>
      </c>
      <c r="H155" s="12">
        <f t="shared" si="13"/>
        <v>179.23499999999999</v>
      </c>
      <c r="I155" s="12">
        <f t="shared" si="13"/>
        <v>1099.56</v>
      </c>
      <c r="J155" s="12">
        <f t="shared" si="13"/>
        <v>40</v>
      </c>
      <c r="K155" s="12">
        <f t="shared" si="13"/>
        <v>309.15999999999997</v>
      </c>
      <c r="L155" s="12">
        <f t="shared" si="13"/>
        <v>194.58500000000001</v>
      </c>
      <c r="M155" s="12">
        <f t="shared" si="13"/>
        <v>631.66</v>
      </c>
      <c r="N155" s="12">
        <f t="shared" si="13"/>
        <v>13.879999999999999</v>
      </c>
      <c r="O155" s="12">
        <f t="shared" si="13"/>
        <v>130.6</v>
      </c>
      <c r="P155" s="12">
        <f t="shared" si="13"/>
        <v>0.37</v>
      </c>
      <c r="Q155" s="12">
        <f t="shared" si="13"/>
        <v>0.36</v>
      </c>
      <c r="R155" s="12">
        <f t="shared" si="13"/>
        <v>38.799999999999997</v>
      </c>
    </row>
    <row r="156" spans="1:18" ht="18" customHeight="1" x14ac:dyDescent="0.25">
      <c r="A156" s="104" t="s">
        <v>17</v>
      </c>
      <c r="B156" s="104"/>
      <c r="C156" s="104"/>
      <c r="D156" s="104"/>
      <c r="E156" s="12">
        <f>E143+E155</f>
        <v>363.78</v>
      </c>
      <c r="F156" s="12">
        <f>F143+F155</f>
        <v>69.39500000000001</v>
      </c>
      <c r="G156" s="12">
        <f>G143+G155</f>
        <v>48.51</v>
      </c>
      <c r="H156" s="12">
        <f>H143+H155</f>
        <v>307.495</v>
      </c>
      <c r="I156" s="12">
        <f>I143+I155</f>
        <v>1938.58</v>
      </c>
      <c r="J156" s="41"/>
      <c r="K156" s="12">
        <f t="shared" ref="K156:R156" si="14">K143+K155</f>
        <v>685.54</v>
      </c>
      <c r="L156" s="12">
        <f t="shared" si="14"/>
        <v>282.59500000000003</v>
      </c>
      <c r="M156" s="12">
        <f t="shared" si="14"/>
        <v>950.17</v>
      </c>
      <c r="N156" s="12">
        <f t="shared" si="14"/>
        <v>16.329999999999998</v>
      </c>
      <c r="O156" s="12">
        <f t="shared" si="14"/>
        <v>230.72</v>
      </c>
      <c r="P156" s="12">
        <f t="shared" si="14"/>
        <v>5.2200000000000006</v>
      </c>
      <c r="Q156" s="12">
        <f t="shared" si="14"/>
        <v>0.54</v>
      </c>
      <c r="R156" s="12">
        <f t="shared" si="14"/>
        <v>41.01</v>
      </c>
    </row>
    <row r="157" spans="1:18" x14ac:dyDescent="0.25">
      <c r="A157" s="15"/>
      <c r="B157" s="15"/>
      <c r="C157" s="15"/>
      <c r="D157" s="15"/>
      <c r="E157" s="17"/>
      <c r="F157" s="17"/>
      <c r="G157" s="17"/>
      <c r="H157" s="17"/>
      <c r="I157" s="17"/>
      <c r="J157" s="19"/>
      <c r="K157" s="17"/>
      <c r="L157" s="17"/>
      <c r="M157" s="16"/>
      <c r="N157" s="17"/>
      <c r="O157" s="17"/>
      <c r="P157" s="16"/>
      <c r="Q157" s="18"/>
      <c r="R157" s="17"/>
    </row>
    <row r="158" spans="1:18" x14ac:dyDescent="0.25">
      <c r="A158" s="15"/>
      <c r="B158" s="15"/>
      <c r="C158" s="15"/>
      <c r="D158" s="15"/>
      <c r="E158" s="17"/>
      <c r="F158" s="17"/>
      <c r="G158" s="17"/>
      <c r="H158" s="17"/>
      <c r="I158" s="17"/>
      <c r="J158" s="19"/>
      <c r="K158" s="17"/>
      <c r="L158" s="17"/>
      <c r="M158" s="16"/>
      <c r="N158" s="17"/>
      <c r="O158" s="17"/>
      <c r="P158" s="16"/>
      <c r="Q158" s="18"/>
      <c r="R158" s="17"/>
    </row>
    <row r="159" spans="1:18" x14ac:dyDescent="0.25">
      <c r="A159" s="15"/>
      <c r="B159" s="15"/>
      <c r="C159" s="15"/>
      <c r="D159" s="15"/>
      <c r="E159" s="17"/>
      <c r="F159" s="17"/>
      <c r="G159" s="17"/>
      <c r="H159" s="17"/>
      <c r="I159" s="17"/>
      <c r="J159" s="19"/>
      <c r="K159" s="17"/>
      <c r="L159" s="17"/>
      <c r="M159" s="16"/>
      <c r="N159" s="17"/>
      <c r="O159" s="17"/>
      <c r="P159" s="16"/>
      <c r="Q159" s="18"/>
      <c r="R159" s="17"/>
    </row>
    <row r="160" spans="1:18" x14ac:dyDescent="0.25">
      <c r="A160" s="121" t="s">
        <v>37</v>
      </c>
      <c r="B160" s="121"/>
      <c r="C160" s="121"/>
      <c r="D160" s="15"/>
      <c r="E160" s="17"/>
      <c r="F160" s="17"/>
      <c r="G160" s="17"/>
      <c r="H160" s="17"/>
      <c r="I160" s="17"/>
      <c r="J160" s="19"/>
      <c r="K160" s="17"/>
      <c r="L160" s="17"/>
      <c r="M160" s="138" t="s">
        <v>103</v>
      </c>
      <c r="N160" s="138"/>
      <c r="O160" s="138"/>
      <c r="P160" s="138"/>
      <c r="Q160" s="138"/>
      <c r="R160" s="138"/>
    </row>
    <row r="161" spans="1:18" x14ac:dyDescent="0.25">
      <c r="A161" s="122" t="s">
        <v>48</v>
      </c>
      <c r="B161" s="122"/>
      <c r="C161" s="122"/>
      <c r="D161" s="15"/>
      <c r="E161" s="17"/>
      <c r="F161" s="17"/>
      <c r="G161" s="17"/>
      <c r="H161" s="17"/>
      <c r="I161" s="17"/>
      <c r="J161" s="19"/>
      <c r="K161" s="17"/>
      <c r="L161" s="17"/>
      <c r="M161" s="139" t="s">
        <v>111</v>
      </c>
      <c r="N161" s="139"/>
      <c r="O161" s="139"/>
      <c r="P161" s="139"/>
      <c r="Q161" s="139"/>
      <c r="R161" s="139"/>
    </row>
    <row r="162" spans="1:18" x14ac:dyDescent="0.25">
      <c r="A162" s="123" t="s">
        <v>100</v>
      </c>
      <c r="B162" s="123"/>
      <c r="C162" s="123"/>
      <c r="D162" s="15"/>
      <c r="E162" s="17"/>
      <c r="F162" s="17"/>
      <c r="G162" s="17"/>
      <c r="H162" s="17"/>
      <c r="I162" s="17"/>
      <c r="J162" s="19"/>
      <c r="K162" s="17"/>
      <c r="L162" s="17"/>
      <c r="M162" s="139" t="s">
        <v>106</v>
      </c>
      <c r="N162" s="139"/>
      <c r="O162" s="139"/>
      <c r="P162" s="139"/>
      <c r="Q162" s="139"/>
      <c r="R162" s="139"/>
    </row>
    <row r="163" spans="1:18" x14ac:dyDescent="0.25">
      <c r="A163" s="124" t="s">
        <v>128</v>
      </c>
      <c r="B163" s="124"/>
      <c r="C163" s="124"/>
      <c r="D163" s="15"/>
      <c r="E163" s="17"/>
      <c r="F163" s="17"/>
      <c r="G163" s="17"/>
      <c r="H163" s="17"/>
      <c r="I163" s="17"/>
      <c r="J163" s="19"/>
      <c r="K163" s="17"/>
      <c r="L163" s="17"/>
      <c r="M163" s="140" t="s">
        <v>130</v>
      </c>
      <c r="N163" s="140"/>
      <c r="O163" s="140"/>
      <c r="P163" s="140"/>
      <c r="Q163" s="140"/>
      <c r="R163" s="140"/>
    </row>
    <row r="164" spans="1:18" ht="18.75" x14ac:dyDescent="0.25">
      <c r="A164" s="115" t="s">
        <v>5</v>
      </c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</row>
    <row r="165" spans="1:18" ht="15.75" x14ac:dyDescent="0.25">
      <c r="A165" s="116" t="s">
        <v>6</v>
      </c>
      <c r="B165" s="116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</row>
    <row r="166" spans="1:18" ht="15.75" x14ac:dyDescent="0.25">
      <c r="A166" s="117" t="s">
        <v>92</v>
      </c>
      <c r="B166" s="117"/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</row>
    <row r="167" spans="1:18" ht="18" customHeight="1" x14ac:dyDescent="0.25">
      <c r="A167" s="101" t="s">
        <v>42</v>
      </c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3"/>
    </row>
    <row r="168" spans="1:18" ht="18.75" customHeight="1" x14ac:dyDescent="0.25">
      <c r="A168" s="94" t="s">
        <v>4</v>
      </c>
      <c r="B168" s="94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</row>
    <row r="169" spans="1:18" ht="18" customHeight="1" x14ac:dyDescent="0.25">
      <c r="A169" s="93" t="s">
        <v>26</v>
      </c>
      <c r="B169" s="92" t="s">
        <v>0</v>
      </c>
      <c r="C169" s="93" t="s">
        <v>35</v>
      </c>
      <c r="D169" s="92" t="s">
        <v>66</v>
      </c>
      <c r="E169" s="92" t="s">
        <v>2</v>
      </c>
      <c r="F169" s="95" t="s">
        <v>55</v>
      </c>
      <c r="G169" s="95" t="s">
        <v>56</v>
      </c>
      <c r="H169" s="95" t="s">
        <v>57</v>
      </c>
      <c r="I169" s="92" t="s">
        <v>3</v>
      </c>
      <c r="J169" s="14"/>
      <c r="K169" s="7" t="s">
        <v>58</v>
      </c>
      <c r="L169" s="7"/>
      <c r="M169" s="7"/>
      <c r="N169" s="7"/>
      <c r="O169" s="92" t="s">
        <v>59</v>
      </c>
      <c r="P169" s="92"/>
      <c r="Q169" s="92"/>
      <c r="R169" s="92"/>
    </row>
    <row r="170" spans="1:18" ht="15" customHeight="1" x14ac:dyDescent="0.25">
      <c r="A170" s="93"/>
      <c r="B170" s="92"/>
      <c r="C170" s="93"/>
      <c r="D170" s="92"/>
      <c r="E170" s="92"/>
      <c r="F170" s="96"/>
      <c r="G170" s="96"/>
      <c r="H170" s="96"/>
      <c r="I170" s="92"/>
      <c r="J170" s="14"/>
      <c r="K170" s="28" t="s">
        <v>27</v>
      </c>
      <c r="L170" s="23" t="s">
        <v>28</v>
      </c>
      <c r="M170" s="23" t="s">
        <v>29</v>
      </c>
      <c r="N170" s="23" t="s">
        <v>30</v>
      </c>
      <c r="O170" s="23" t="s">
        <v>31</v>
      </c>
      <c r="P170" s="23" t="s">
        <v>63</v>
      </c>
      <c r="Q170" s="23" t="s">
        <v>33</v>
      </c>
      <c r="R170" s="23" t="s">
        <v>34</v>
      </c>
    </row>
    <row r="171" spans="1:18" ht="18" customHeight="1" x14ac:dyDescent="0.25">
      <c r="A171" s="26">
        <v>171</v>
      </c>
      <c r="B171" s="1" t="s">
        <v>7</v>
      </c>
      <c r="C171" s="77" t="s">
        <v>120</v>
      </c>
      <c r="D171" s="1" t="s">
        <v>72</v>
      </c>
      <c r="E171" s="33">
        <v>23.78</v>
      </c>
      <c r="F171" s="33">
        <v>8.98</v>
      </c>
      <c r="G171" s="33">
        <v>17.12</v>
      </c>
      <c r="H171" s="33">
        <v>49.56</v>
      </c>
      <c r="I171" s="33">
        <v>388.39</v>
      </c>
      <c r="J171" s="61"/>
      <c r="K171" s="33">
        <v>188.89</v>
      </c>
      <c r="L171" s="33">
        <v>70.86</v>
      </c>
      <c r="M171" s="33">
        <v>257.35000000000002</v>
      </c>
      <c r="N171" s="33">
        <v>1.61</v>
      </c>
      <c r="O171" s="33">
        <v>0.06</v>
      </c>
      <c r="P171" s="33">
        <v>0.16</v>
      </c>
      <c r="Q171" s="67">
        <v>0</v>
      </c>
      <c r="R171" s="2">
        <v>0.81</v>
      </c>
    </row>
    <row r="172" spans="1:18" ht="18" customHeight="1" x14ac:dyDescent="0.25">
      <c r="A172" s="1"/>
      <c r="B172" s="1" t="s">
        <v>8</v>
      </c>
      <c r="C172" s="25" t="s">
        <v>53</v>
      </c>
      <c r="D172" s="1">
        <v>55</v>
      </c>
      <c r="E172" s="2">
        <v>6.88</v>
      </c>
      <c r="F172" s="2">
        <v>4.4000000000000004</v>
      </c>
      <c r="G172" s="2">
        <v>0.77</v>
      </c>
      <c r="H172" s="2">
        <v>23.1</v>
      </c>
      <c r="I172" s="2">
        <v>116.6</v>
      </c>
      <c r="J172" s="25"/>
      <c r="K172" s="2">
        <v>12.65</v>
      </c>
      <c r="L172" s="2">
        <v>18.149999999999999</v>
      </c>
      <c r="M172" s="2">
        <v>47.85</v>
      </c>
      <c r="N172" s="2">
        <v>1.1000000000000001</v>
      </c>
      <c r="O172" s="1">
        <v>0</v>
      </c>
      <c r="P172" s="2">
        <v>0.11</v>
      </c>
      <c r="Q172" s="2">
        <v>0.88</v>
      </c>
      <c r="R172" s="66">
        <v>0</v>
      </c>
    </row>
    <row r="173" spans="1:18" ht="18" customHeight="1" x14ac:dyDescent="0.25">
      <c r="A173" s="1">
        <v>14</v>
      </c>
      <c r="B173" s="1" t="s">
        <v>9</v>
      </c>
      <c r="C173" s="86" t="s">
        <v>114</v>
      </c>
      <c r="D173" s="30">
        <v>10</v>
      </c>
      <c r="E173" s="33">
        <v>14</v>
      </c>
      <c r="F173" s="30">
        <v>0.1</v>
      </c>
      <c r="G173" s="31">
        <v>8.1999999999999993</v>
      </c>
      <c r="H173" s="30">
        <v>0.1</v>
      </c>
      <c r="I173" s="31">
        <v>75</v>
      </c>
      <c r="J173" s="78"/>
      <c r="K173" s="31">
        <v>2.4</v>
      </c>
      <c r="L173" s="67">
        <v>0</v>
      </c>
      <c r="M173" s="31">
        <v>3</v>
      </c>
      <c r="N173" s="30">
        <v>0</v>
      </c>
      <c r="O173" s="31">
        <v>40</v>
      </c>
      <c r="P173" s="67">
        <v>0</v>
      </c>
      <c r="Q173" s="67">
        <v>0</v>
      </c>
      <c r="R173" s="67">
        <v>0</v>
      </c>
    </row>
    <row r="174" spans="1:18" ht="18" customHeight="1" x14ac:dyDescent="0.25">
      <c r="A174" s="26">
        <v>15</v>
      </c>
      <c r="B174" s="1" t="s">
        <v>13</v>
      </c>
      <c r="C174" s="25" t="s">
        <v>85</v>
      </c>
      <c r="D174" s="1">
        <v>20</v>
      </c>
      <c r="E174" s="2">
        <v>21.76</v>
      </c>
      <c r="F174" s="33">
        <v>4.6399999999999997</v>
      </c>
      <c r="G174" s="33">
        <v>5.9</v>
      </c>
      <c r="H174" s="67">
        <v>0</v>
      </c>
      <c r="I174" s="33">
        <v>71.66</v>
      </c>
      <c r="J174" s="61"/>
      <c r="K174" s="33">
        <v>176</v>
      </c>
      <c r="L174" s="33">
        <v>7</v>
      </c>
      <c r="M174" s="33">
        <v>100</v>
      </c>
      <c r="N174" s="33">
        <v>0.2</v>
      </c>
      <c r="O174" s="33">
        <v>52</v>
      </c>
      <c r="P174" s="67">
        <v>0</v>
      </c>
      <c r="Q174" s="67">
        <v>0</v>
      </c>
      <c r="R174" s="67">
        <v>0</v>
      </c>
    </row>
    <row r="175" spans="1:18" ht="18" customHeight="1" x14ac:dyDescent="0.25">
      <c r="A175" s="1">
        <v>376</v>
      </c>
      <c r="B175" s="1" t="s">
        <v>14</v>
      </c>
      <c r="C175" s="29" t="s">
        <v>115</v>
      </c>
      <c r="D175" s="1" t="s">
        <v>116</v>
      </c>
      <c r="E175" s="2">
        <v>3.9</v>
      </c>
      <c r="F175" s="2">
        <v>0.2</v>
      </c>
      <c r="G175" s="66">
        <v>0</v>
      </c>
      <c r="H175" s="2">
        <v>16</v>
      </c>
      <c r="I175" s="2">
        <v>65</v>
      </c>
      <c r="J175" s="41"/>
      <c r="K175" s="2">
        <v>5</v>
      </c>
      <c r="L175" s="66">
        <v>0</v>
      </c>
      <c r="M175" s="66">
        <v>0</v>
      </c>
      <c r="N175" s="2">
        <v>2</v>
      </c>
      <c r="O175" s="66">
        <v>0</v>
      </c>
      <c r="P175" s="66">
        <v>0</v>
      </c>
      <c r="Q175" s="66">
        <v>0</v>
      </c>
      <c r="R175" s="67">
        <v>0</v>
      </c>
    </row>
    <row r="176" spans="1:18" x14ac:dyDescent="0.25">
      <c r="A176" s="97" t="s">
        <v>11</v>
      </c>
      <c r="B176" s="97"/>
      <c r="C176" s="97"/>
      <c r="D176" s="84">
        <v>552</v>
      </c>
      <c r="E176" s="12">
        <f>SUM(E170:E175)</f>
        <v>70.320000000000007</v>
      </c>
      <c r="F176" s="12">
        <f>SUM(F170:F175)</f>
        <v>18.32</v>
      </c>
      <c r="G176" s="12">
        <f>SUM(G170:G175)</f>
        <v>31.990000000000002</v>
      </c>
      <c r="H176" s="12">
        <f>SUM(H170:H175)</f>
        <v>88.759999999999991</v>
      </c>
      <c r="I176" s="13">
        <f>SUM(I170:I175)</f>
        <v>716.65</v>
      </c>
      <c r="J176" s="65"/>
      <c r="K176" s="13">
        <f t="shared" ref="K176:R176" si="15">SUM(K171:K175)</f>
        <v>384.94</v>
      </c>
      <c r="L176" s="13">
        <f t="shared" si="15"/>
        <v>96.009999999999991</v>
      </c>
      <c r="M176" s="13">
        <f t="shared" si="15"/>
        <v>408.20000000000005</v>
      </c>
      <c r="N176" s="12">
        <f t="shared" si="15"/>
        <v>4.91</v>
      </c>
      <c r="O176" s="12">
        <f t="shared" si="15"/>
        <v>92.06</v>
      </c>
      <c r="P176" s="12">
        <f t="shared" si="15"/>
        <v>0.27</v>
      </c>
      <c r="Q176" s="12">
        <f t="shared" si="15"/>
        <v>0.88</v>
      </c>
      <c r="R176" s="12">
        <f t="shared" si="15"/>
        <v>0.81</v>
      </c>
    </row>
    <row r="177" spans="1:19" ht="18" customHeight="1" x14ac:dyDescent="0.25">
      <c r="A177" s="94" t="s">
        <v>12</v>
      </c>
      <c r="B177" s="94"/>
      <c r="C177" s="94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</row>
    <row r="178" spans="1:19" ht="18" customHeight="1" x14ac:dyDescent="0.25">
      <c r="A178" s="93" t="s">
        <v>26</v>
      </c>
      <c r="B178" s="92" t="s">
        <v>0</v>
      </c>
      <c r="C178" s="93" t="s">
        <v>35</v>
      </c>
      <c r="D178" s="92" t="s">
        <v>66</v>
      </c>
      <c r="E178" s="92" t="s">
        <v>2</v>
      </c>
      <c r="F178" s="95" t="s">
        <v>55</v>
      </c>
      <c r="G178" s="95" t="s">
        <v>56</v>
      </c>
      <c r="H178" s="95" t="s">
        <v>57</v>
      </c>
      <c r="I178" s="92" t="s">
        <v>3</v>
      </c>
      <c r="J178" s="14"/>
      <c r="K178" s="7" t="s">
        <v>58</v>
      </c>
      <c r="L178" s="7"/>
      <c r="M178" s="7"/>
      <c r="N178" s="7"/>
      <c r="O178" s="92" t="s">
        <v>59</v>
      </c>
      <c r="P178" s="92"/>
      <c r="Q178" s="92"/>
      <c r="R178" s="92"/>
    </row>
    <row r="179" spans="1:19" ht="15" customHeight="1" x14ac:dyDescent="0.25">
      <c r="A179" s="93"/>
      <c r="B179" s="92"/>
      <c r="C179" s="93"/>
      <c r="D179" s="92"/>
      <c r="E179" s="92"/>
      <c r="F179" s="96"/>
      <c r="G179" s="96"/>
      <c r="H179" s="96"/>
      <c r="I179" s="92"/>
      <c r="J179" s="14"/>
      <c r="K179" s="28" t="s">
        <v>27</v>
      </c>
      <c r="L179" s="23" t="s">
        <v>28</v>
      </c>
      <c r="M179" s="23" t="s">
        <v>29</v>
      </c>
      <c r="N179" s="23" t="s">
        <v>30</v>
      </c>
      <c r="O179" s="23" t="s">
        <v>31</v>
      </c>
      <c r="P179" s="23" t="s">
        <v>63</v>
      </c>
      <c r="Q179" s="23" t="s">
        <v>33</v>
      </c>
      <c r="R179" s="23" t="s">
        <v>34</v>
      </c>
    </row>
    <row r="180" spans="1:19" ht="18" customHeight="1" x14ac:dyDescent="0.25">
      <c r="A180" s="1">
        <v>71</v>
      </c>
      <c r="B180" s="1">
        <v>1</v>
      </c>
      <c r="C180" s="5" t="s">
        <v>69</v>
      </c>
      <c r="D180" s="30">
        <v>100</v>
      </c>
      <c r="E180" s="2">
        <v>41.3</v>
      </c>
      <c r="F180" s="76">
        <v>1.2</v>
      </c>
      <c r="G180" s="76">
        <v>0.2</v>
      </c>
      <c r="H180" s="76">
        <v>4.5999999999999996</v>
      </c>
      <c r="I180" s="2">
        <v>26</v>
      </c>
      <c r="J180" s="62"/>
      <c r="K180" s="2">
        <v>14</v>
      </c>
      <c r="L180" s="2">
        <v>20</v>
      </c>
      <c r="M180" s="2">
        <v>0</v>
      </c>
      <c r="N180" s="2">
        <v>0.8</v>
      </c>
      <c r="O180" s="2">
        <v>0</v>
      </c>
      <c r="P180" s="2">
        <v>0</v>
      </c>
      <c r="Q180" s="2">
        <v>0</v>
      </c>
      <c r="R180" s="2">
        <v>17.5</v>
      </c>
    </row>
    <row r="181" spans="1:19" ht="19.5" customHeight="1" x14ac:dyDescent="0.25">
      <c r="A181" s="1">
        <v>104</v>
      </c>
      <c r="B181" s="1" t="s">
        <v>8</v>
      </c>
      <c r="C181" s="52" t="s">
        <v>20</v>
      </c>
      <c r="D181" s="30" t="s">
        <v>89</v>
      </c>
      <c r="E181" s="2">
        <v>41.16</v>
      </c>
      <c r="F181" s="2">
        <f>9*250/200</f>
        <v>11.25</v>
      </c>
      <c r="G181" s="2">
        <f>6.3*250/200</f>
        <v>7.875</v>
      </c>
      <c r="H181" s="2">
        <f>22.1*250/200</f>
        <v>27.625</v>
      </c>
      <c r="I181" s="2">
        <f>180.9*250/200</f>
        <v>226.125</v>
      </c>
      <c r="J181" s="2"/>
      <c r="K181" s="2">
        <f>66.15*250/200</f>
        <v>82.6875</v>
      </c>
      <c r="L181" s="2">
        <f>26.5*250/200</f>
        <v>33.125</v>
      </c>
      <c r="M181" s="2">
        <f>64.1*250/200</f>
        <v>80.124999999999986</v>
      </c>
      <c r="N181" s="2">
        <f>1.38*250/200</f>
        <v>1.7250000000000001</v>
      </c>
      <c r="O181" s="2">
        <f>0.8*250/200</f>
        <v>1</v>
      </c>
      <c r="P181" s="2">
        <f>9.48*250/200</f>
        <v>11.85</v>
      </c>
      <c r="Q181" s="2">
        <f>1.3*250/200</f>
        <v>1.625</v>
      </c>
      <c r="R181" s="2">
        <f>20.03*250/200</f>
        <v>25.037500000000001</v>
      </c>
    </row>
    <row r="182" spans="1:19" ht="18" customHeight="1" x14ac:dyDescent="0.25">
      <c r="A182" s="1">
        <v>268</v>
      </c>
      <c r="B182" s="1" t="s">
        <v>9</v>
      </c>
      <c r="C182" s="52" t="s">
        <v>24</v>
      </c>
      <c r="D182" s="30">
        <v>100</v>
      </c>
      <c r="E182" s="2">
        <v>55.9</v>
      </c>
      <c r="F182" s="2">
        <v>14.8</v>
      </c>
      <c r="G182" s="2">
        <v>19.399999999999999</v>
      </c>
      <c r="H182" s="2">
        <v>22.2</v>
      </c>
      <c r="I182" s="2">
        <v>322</v>
      </c>
      <c r="J182" s="41"/>
      <c r="K182" s="2">
        <v>43.7</v>
      </c>
      <c r="L182" s="2">
        <v>32.1</v>
      </c>
      <c r="M182" s="2">
        <v>166.4</v>
      </c>
      <c r="N182" s="2">
        <v>1</v>
      </c>
      <c r="O182" s="2">
        <v>28.7</v>
      </c>
      <c r="P182" s="2">
        <v>0.1</v>
      </c>
      <c r="Q182" s="2">
        <v>0</v>
      </c>
      <c r="R182" s="2">
        <v>0.1</v>
      </c>
    </row>
    <row r="183" spans="1:19" ht="30" customHeight="1" x14ac:dyDescent="0.25">
      <c r="A183" s="1" t="s">
        <v>122</v>
      </c>
      <c r="B183" s="30" t="s">
        <v>13</v>
      </c>
      <c r="C183" s="90" t="s">
        <v>123</v>
      </c>
      <c r="D183" s="30" t="s">
        <v>124</v>
      </c>
      <c r="E183" s="2">
        <v>13.04</v>
      </c>
      <c r="F183" s="2">
        <v>7.16</v>
      </c>
      <c r="G183" s="2">
        <v>8.25</v>
      </c>
      <c r="H183" s="2">
        <v>40.25</v>
      </c>
      <c r="I183" s="2">
        <v>226.28</v>
      </c>
      <c r="J183" s="49"/>
      <c r="K183" s="2">
        <v>13.03</v>
      </c>
      <c r="L183" s="2">
        <v>24.55</v>
      </c>
      <c r="M183" s="2">
        <v>50.27</v>
      </c>
      <c r="N183" s="2">
        <v>1.34</v>
      </c>
      <c r="O183" s="2">
        <v>0.03</v>
      </c>
      <c r="P183" s="2">
        <v>0.15</v>
      </c>
      <c r="Q183" s="2">
        <v>0.95</v>
      </c>
      <c r="R183" s="2">
        <v>0.06</v>
      </c>
    </row>
    <row r="184" spans="1:19" ht="18" customHeight="1" x14ac:dyDescent="0.25">
      <c r="A184" s="1"/>
      <c r="B184" s="1" t="s">
        <v>14</v>
      </c>
      <c r="C184" s="25" t="s">
        <v>109</v>
      </c>
      <c r="D184" s="1">
        <v>200</v>
      </c>
      <c r="E184" s="2">
        <v>20</v>
      </c>
      <c r="F184" s="2">
        <v>1</v>
      </c>
      <c r="G184" s="2">
        <v>0</v>
      </c>
      <c r="H184" s="2">
        <v>20.2</v>
      </c>
      <c r="I184" s="2">
        <v>92</v>
      </c>
      <c r="J184" s="70"/>
      <c r="K184" s="2">
        <v>14</v>
      </c>
      <c r="L184" s="2">
        <v>8</v>
      </c>
      <c r="M184" s="2">
        <v>14</v>
      </c>
      <c r="N184" s="2">
        <v>2.8</v>
      </c>
      <c r="O184" s="66">
        <v>0</v>
      </c>
      <c r="P184" s="2">
        <v>0.4</v>
      </c>
      <c r="Q184" s="2">
        <v>0.4</v>
      </c>
      <c r="R184" s="2">
        <v>4</v>
      </c>
      <c r="S184" s="83"/>
    </row>
    <row r="185" spans="1:19" ht="18" customHeight="1" x14ac:dyDescent="0.25">
      <c r="A185" s="1"/>
      <c r="B185" s="1" t="s">
        <v>15</v>
      </c>
      <c r="C185" s="52" t="s">
        <v>76</v>
      </c>
      <c r="D185" s="30">
        <v>40</v>
      </c>
      <c r="E185" s="2">
        <v>3.33</v>
      </c>
      <c r="F185" s="2">
        <f>1.68*40/30</f>
        <v>2.2400000000000002</v>
      </c>
      <c r="G185" s="2">
        <f>0.33*40/30</f>
        <v>0.44000000000000006</v>
      </c>
      <c r="H185" s="2">
        <f>14.82*40/30</f>
        <v>19.759999999999998</v>
      </c>
      <c r="I185" s="2">
        <f>68.97*40/30</f>
        <v>91.960000000000008</v>
      </c>
      <c r="J185" s="41"/>
      <c r="K185" s="2">
        <f>6.9*40/30</f>
        <v>9.1999999999999993</v>
      </c>
      <c r="L185" s="2">
        <f>7.5*40/30</f>
        <v>10</v>
      </c>
      <c r="M185" s="2">
        <f>31.8*40/30</f>
        <v>42.4</v>
      </c>
      <c r="N185" s="2">
        <f>0.93*40/30</f>
        <v>1.24</v>
      </c>
      <c r="O185" s="66">
        <v>0</v>
      </c>
      <c r="P185" s="66">
        <v>0</v>
      </c>
      <c r="Q185" s="66">
        <v>0</v>
      </c>
      <c r="R185" s="66">
        <v>0</v>
      </c>
    </row>
    <row r="186" spans="1:19" ht="18" customHeight="1" x14ac:dyDescent="0.25">
      <c r="A186" s="1"/>
      <c r="B186" s="1" t="s">
        <v>64</v>
      </c>
      <c r="C186" s="5" t="s">
        <v>62</v>
      </c>
      <c r="D186" s="30">
        <v>70</v>
      </c>
      <c r="E186" s="33">
        <v>5.83</v>
      </c>
      <c r="F186" s="33">
        <f>2.37*70/30</f>
        <v>5.53</v>
      </c>
      <c r="G186" s="33">
        <f>0.3*70/30</f>
        <v>0.7</v>
      </c>
      <c r="H186" s="33">
        <f>14.49*70/30</f>
        <v>33.81</v>
      </c>
      <c r="I186" s="33">
        <f>70.14*70/30</f>
        <v>163.66</v>
      </c>
      <c r="J186" s="61"/>
      <c r="K186" s="33">
        <f>6.9*70/30</f>
        <v>16.100000000000001</v>
      </c>
      <c r="L186" s="33">
        <f>9.9*70/30</f>
        <v>23.1</v>
      </c>
      <c r="M186" s="33">
        <f>26.1*70/30</f>
        <v>60.9</v>
      </c>
      <c r="N186" s="33">
        <f>0.33*70/30</f>
        <v>0.77</v>
      </c>
      <c r="O186" s="67">
        <v>0</v>
      </c>
      <c r="P186" s="67">
        <v>0</v>
      </c>
      <c r="Q186" s="67">
        <v>0</v>
      </c>
      <c r="R186" s="67">
        <v>0</v>
      </c>
    </row>
    <row r="187" spans="1:19" ht="18" customHeight="1" x14ac:dyDescent="0.25">
      <c r="A187" s="97" t="s">
        <v>11</v>
      </c>
      <c r="B187" s="97"/>
      <c r="C187" s="97"/>
      <c r="D187" s="59">
        <v>1005</v>
      </c>
      <c r="E187" s="12">
        <f t="shared" ref="E187:R187" si="16">SUM(E180:E186)</f>
        <v>180.56</v>
      </c>
      <c r="F187" s="12">
        <f t="shared" si="16"/>
        <v>43.18</v>
      </c>
      <c r="G187" s="12">
        <f t="shared" si="16"/>
        <v>36.864999999999995</v>
      </c>
      <c r="H187" s="12">
        <f t="shared" si="16"/>
        <v>168.44499999999999</v>
      </c>
      <c r="I187" s="12">
        <f t="shared" si="16"/>
        <v>1148.0250000000001</v>
      </c>
      <c r="J187" s="12">
        <f t="shared" si="16"/>
        <v>0</v>
      </c>
      <c r="K187" s="12">
        <f t="shared" si="16"/>
        <v>192.71749999999997</v>
      </c>
      <c r="L187" s="12">
        <f t="shared" si="16"/>
        <v>150.875</v>
      </c>
      <c r="M187" s="12">
        <f t="shared" si="16"/>
        <v>414.09499999999991</v>
      </c>
      <c r="N187" s="12">
        <f t="shared" si="16"/>
        <v>9.6749999999999989</v>
      </c>
      <c r="O187" s="12">
        <f t="shared" si="16"/>
        <v>29.73</v>
      </c>
      <c r="P187" s="12">
        <f t="shared" si="16"/>
        <v>12.5</v>
      </c>
      <c r="Q187" s="12">
        <f t="shared" si="16"/>
        <v>2.9750000000000001</v>
      </c>
      <c r="R187" s="12">
        <f t="shared" si="16"/>
        <v>46.697500000000005</v>
      </c>
    </row>
    <row r="188" spans="1:19" ht="18" customHeight="1" x14ac:dyDescent="0.25">
      <c r="A188" s="104" t="s">
        <v>17</v>
      </c>
      <c r="B188" s="104"/>
      <c r="C188" s="104"/>
      <c r="D188" s="104"/>
      <c r="E188" s="12">
        <f>E176+E187</f>
        <v>250.88</v>
      </c>
      <c r="F188" s="12">
        <f>F176+F187</f>
        <v>61.5</v>
      </c>
      <c r="G188" s="12">
        <f>G176+G187</f>
        <v>68.85499999999999</v>
      </c>
      <c r="H188" s="12">
        <f>H176+H187</f>
        <v>257.20499999999998</v>
      </c>
      <c r="I188" s="12">
        <f>I176+I187</f>
        <v>1864.6750000000002</v>
      </c>
      <c r="J188" s="41"/>
      <c r="K188" s="12">
        <f t="shared" ref="K188:R188" si="17">K176+K187</f>
        <v>577.65750000000003</v>
      </c>
      <c r="L188" s="12">
        <f t="shared" si="17"/>
        <v>246.88499999999999</v>
      </c>
      <c r="M188" s="12">
        <f t="shared" si="17"/>
        <v>822.29499999999996</v>
      </c>
      <c r="N188" s="12">
        <f t="shared" si="17"/>
        <v>14.584999999999999</v>
      </c>
      <c r="O188" s="12">
        <f t="shared" si="17"/>
        <v>121.79</v>
      </c>
      <c r="P188" s="12">
        <f t="shared" si="17"/>
        <v>12.77</v>
      </c>
      <c r="Q188" s="12">
        <f t="shared" si="17"/>
        <v>3.855</v>
      </c>
      <c r="R188" s="12">
        <f t="shared" si="17"/>
        <v>47.507500000000007</v>
      </c>
    </row>
    <row r="189" spans="1:19" x14ac:dyDescent="0.25">
      <c r="A189" s="15"/>
      <c r="B189" s="15"/>
      <c r="C189" s="15"/>
      <c r="D189" s="15"/>
      <c r="E189" s="17"/>
      <c r="F189" s="17"/>
      <c r="G189" s="17"/>
      <c r="H189" s="17"/>
      <c r="I189" s="17"/>
      <c r="J189" s="19"/>
      <c r="K189" s="17"/>
      <c r="L189" s="17"/>
      <c r="M189" s="17"/>
      <c r="N189" s="16"/>
      <c r="O189" s="17"/>
      <c r="P189" s="16"/>
      <c r="Q189" s="16"/>
      <c r="R189" s="17"/>
    </row>
    <row r="190" spans="1:19" x14ac:dyDescent="0.25">
      <c r="A190" s="15"/>
      <c r="B190" s="15"/>
      <c r="C190" s="15"/>
      <c r="D190" s="15"/>
      <c r="E190" s="17"/>
      <c r="F190" s="17"/>
      <c r="G190" s="17"/>
      <c r="H190" s="17"/>
      <c r="I190" s="17"/>
      <c r="J190" s="19"/>
      <c r="K190" s="17"/>
      <c r="L190" s="17"/>
      <c r="M190" s="17"/>
      <c r="N190" s="16"/>
      <c r="O190" s="17"/>
      <c r="P190" s="16"/>
      <c r="Q190" s="16"/>
      <c r="R190" s="17"/>
    </row>
    <row r="191" spans="1:19" x14ac:dyDescent="0.25">
      <c r="A191" s="15"/>
      <c r="B191" s="15"/>
      <c r="C191" s="15"/>
      <c r="D191" s="15"/>
      <c r="E191" s="17"/>
      <c r="F191" s="17"/>
      <c r="G191" s="17"/>
      <c r="H191" s="17"/>
      <c r="I191" s="17"/>
      <c r="J191" s="19"/>
      <c r="K191" s="17"/>
      <c r="L191" s="17"/>
      <c r="M191" s="17"/>
      <c r="N191" s="16"/>
      <c r="O191" s="17"/>
      <c r="P191" s="16"/>
      <c r="Q191" s="16"/>
      <c r="R191" s="17"/>
    </row>
    <row r="192" spans="1:19" x14ac:dyDescent="0.25">
      <c r="A192" s="121" t="s">
        <v>37</v>
      </c>
      <c r="B192" s="121"/>
      <c r="C192" s="121"/>
      <c r="D192" s="15"/>
      <c r="E192" s="17"/>
      <c r="F192" s="17"/>
      <c r="G192" s="17"/>
      <c r="H192" s="17"/>
      <c r="I192" s="17"/>
      <c r="J192" s="19"/>
      <c r="K192" s="17"/>
      <c r="L192" s="17"/>
      <c r="M192" s="138" t="s">
        <v>103</v>
      </c>
      <c r="N192" s="138"/>
      <c r="O192" s="138"/>
      <c r="P192" s="138"/>
      <c r="Q192" s="138"/>
      <c r="R192" s="138"/>
    </row>
    <row r="193" spans="1:18" x14ac:dyDescent="0.25">
      <c r="A193" s="122" t="s">
        <v>48</v>
      </c>
      <c r="B193" s="122"/>
      <c r="C193" s="122"/>
      <c r="D193" s="15"/>
      <c r="E193" s="17"/>
      <c r="F193" s="17"/>
      <c r="G193" s="17"/>
      <c r="H193" s="17"/>
      <c r="I193" s="17"/>
      <c r="J193" s="19"/>
      <c r="K193" s="17"/>
      <c r="L193" s="17"/>
      <c r="M193" s="139" t="s">
        <v>111</v>
      </c>
      <c r="N193" s="139"/>
      <c r="O193" s="139"/>
      <c r="P193" s="139"/>
      <c r="Q193" s="139"/>
      <c r="R193" s="139"/>
    </row>
    <row r="194" spans="1:18" x14ac:dyDescent="0.25">
      <c r="A194" s="123" t="s">
        <v>100</v>
      </c>
      <c r="B194" s="123"/>
      <c r="C194" s="123"/>
      <c r="D194" s="15"/>
      <c r="E194" s="17"/>
      <c r="F194" s="17"/>
      <c r="G194" s="17"/>
      <c r="H194" s="17"/>
      <c r="I194" s="17"/>
      <c r="J194" s="19"/>
      <c r="K194" s="17"/>
      <c r="L194" s="17"/>
      <c r="M194" s="139" t="s">
        <v>106</v>
      </c>
      <c r="N194" s="139"/>
      <c r="O194" s="139"/>
      <c r="P194" s="139"/>
      <c r="Q194" s="139"/>
      <c r="R194" s="139"/>
    </row>
    <row r="195" spans="1:18" x14ac:dyDescent="0.25">
      <c r="A195" s="124" t="s">
        <v>128</v>
      </c>
      <c r="B195" s="124"/>
      <c r="C195" s="124"/>
      <c r="D195" s="15"/>
      <c r="E195" s="17"/>
      <c r="F195" s="17"/>
      <c r="G195" s="17"/>
      <c r="H195" s="17"/>
      <c r="I195" s="17"/>
      <c r="J195" s="19"/>
      <c r="K195" s="17"/>
      <c r="L195" s="17"/>
      <c r="M195" s="140" t="s">
        <v>130</v>
      </c>
      <c r="N195" s="140"/>
      <c r="O195" s="140"/>
      <c r="P195" s="140"/>
      <c r="Q195" s="140"/>
      <c r="R195" s="140"/>
    </row>
    <row r="196" spans="1:18" ht="18.75" x14ac:dyDescent="0.25">
      <c r="A196" s="115" t="s">
        <v>5</v>
      </c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</row>
    <row r="197" spans="1:18" ht="15.75" x14ac:dyDescent="0.25">
      <c r="A197" s="116" t="s">
        <v>6</v>
      </c>
      <c r="B197" s="116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</row>
    <row r="198" spans="1:18" ht="15.75" x14ac:dyDescent="0.25">
      <c r="A198" s="117" t="s">
        <v>92</v>
      </c>
      <c r="B198" s="117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17"/>
      <c r="R198" s="117"/>
    </row>
    <row r="199" spans="1:18" ht="18" customHeight="1" x14ac:dyDescent="0.25">
      <c r="A199" s="114" t="s">
        <v>43</v>
      </c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</row>
    <row r="200" spans="1:18" ht="18.75" customHeight="1" x14ac:dyDescent="0.25">
      <c r="A200" s="94" t="s">
        <v>4</v>
      </c>
      <c r="B200" s="94"/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</row>
    <row r="201" spans="1:18" ht="18" customHeight="1" x14ac:dyDescent="0.25">
      <c r="A201" s="93" t="s">
        <v>26</v>
      </c>
      <c r="B201" s="92" t="s">
        <v>0</v>
      </c>
      <c r="C201" s="93" t="s">
        <v>35</v>
      </c>
      <c r="D201" s="92" t="s">
        <v>66</v>
      </c>
      <c r="E201" s="92" t="s">
        <v>2</v>
      </c>
      <c r="F201" s="93" t="s">
        <v>55</v>
      </c>
      <c r="G201" s="93" t="s">
        <v>56</v>
      </c>
      <c r="H201" s="93" t="s">
        <v>57</v>
      </c>
      <c r="I201" s="92" t="s">
        <v>3</v>
      </c>
      <c r="J201" s="14"/>
      <c r="K201" s="7" t="s">
        <v>58</v>
      </c>
      <c r="L201" s="7"/>
      <c r="M201" s="7"/>
      <c r="N201" s="7"/>
      <c r="O201" s="92" t="s">
        <v>59</v>
      </c>
      <c r="P201" s="92"/>
      <c r="Q201" s="92"/>
      <c r="R201" s="92"/>
    </row>
    <row r="202" spans="1:18" ht="15" customHeight="1" x14ac:dyDescent="0.25">
      <c r="A202" s="93"/>
      <c r="B202" s="92"/>
      <c r="C202" s="93"/>
      <c r="D202" s="92"/>
      <c r="E202" s="92"/>
      <c r="F202" s="93"/>
      <c r="G202" s="93"/>
      <c r="H202" s="93"/>
      <c r="I202" s="92"/>
      <c r="J202" s="14"/>
      <c r="K202" s="73" t="s">
        <v>27</v>
      </c>
      <c r="L202" s="74" t="s">
        <v>28</v>
      </c>
      <c r="M202" s="74" t="s">
        <v>29</v>
      </c>
      <c r="N202" s="74" t="s">
        <v>30</v>
      </c>
      <c r="O202" s="74" t="s">
        <v>31</v>
      </c>
      <c r="P202" s="74" t="s">
        <v>63</v>
      </c>
      <c r="Q202" s="74" t="s">
        <v>33</v>
      </c>
      <c r="R202" s="74" t="s">
        <v>34</v>
      </c>
    </row>
    <row r="203" spans="1:18" ht="18" customHeight="1" x14ac:dyDescent="0.25">
      <c r="A203" s="1">
        <v>210</v>
      </c>
      <c r="B203" s="30" t="s">
        <v>7</v>
      </c>
      <c r="C203" s="86" t="s">
        <v>39</v>
      </c>
      <c r="D203" s="1">
        <v>250</v>
      </c>
      <c r="E203" s="2">
        <v>98.28</v>
      </c>
      <c r="F203" s="2">
        <f>13.7*250/200</f>
        <v>17.125</v>
      </c>
      <c r="G203" s="2">
        <f>27.6*250/200</f>
        <v>34.5</v>
      </c>
      <c r="H203" s="2">
        <f>14.5*250/200</f>
        <v>18.125</v>
      </c>
      <c r="I203" s="2">
        <f>362.1*250/200</f>
        <v>452.625</v>
      </c>
      <c r="J203" s="41"/>
      <c r="K203" s="2">
        <f>113.9*250/200</f>
        <v>142.375</v>
      </c>
      <c r="L203" s="2">
        <f>19.5*250/200</f>
        <v>24.375</v>
      </c>
      <c r="M203" s="2">
        <f>259.8*250/200</f>
        <v>324.75</v>
      </c>
      <c r="N203" s="2">
        <f>3*250/200</f>
        <v>3.75</v>
      </c>
      <c r="O203" s="2">
        <f>339.8*250/200</f>
        <v>424.75</v>
      </c>
      <c r="P203" s="2">
        <f>0.2*250/200</f>
        <v>0.25</v>
      </c>
      <c r="Q203" s="2">
        <v>0</v>
      </c>
      <c r="R203" s="2">
        <f>0.3*250/200</f>
        <v>0.375</v>
      </c>
    </row>
    <row r="204" spans="1:18" ht="18" customHeight="1" x14ac:dyDescent="0.25">
      <c r="A204" s="1"/>
      <c r="B204" s="1" t="s">
        <v>8</v>
      </c>
      <c r="C204" s="25" t="s">
        <v>53</v>
      </c>
      <c r="D204" s="1">
        <v>50</v>
      </c>
      <c r="E204" s="2">
        <v>6.25</v>
      </c>
      <c r="F204" s="2">
        <v>4</v>
      </c>
      <c r="G204" s="2">
        <v>0.7</v>
      </c>
      <c r="H204" s="2">
        <v>21</v>
      </c>
      <c r="I204" s="2">
        <v>106</v>
      </c>
      <c r="J204" s="25"/>
      <c r="K204" s="2">
        <v>11.5</v>
      </c>
      <c r="L204" s="2">
        <v>16.5</v>
      </c>
      <c r="M204" s="2">
        <v>43.5</v>
      </c>
      <c r="N204" s="2">
        <v>1</v>
      </c>
      <c r="O204" s="1">
        <v>0</v>
      </c>
      <c r="P204" s="2">
        <v>0.1</v>
      </c>
      <c r="Q204" s="2">
        <v>0.8</v>
      </c>
      <c r="R204" s="66">
        <v>0</v>
      </c>
    </row>
    <row r="205" spans="1:18" ht="18" customHeight="1" x14ac:dyDescent="0.25">
      <c r="A205" s="1"/>
      <c r="B205" s="1" t="s">
        <v>9</v>
      </c>
      <c r="C205" s="25" t="s">
        <v>125</v>
      </c>
      <c r="D205" s="1">
        <v>80</v>
      </c>
      <c r="E205" s="2">
        <v>20.8</v>
      </c>
      <c r="F205" s="2">
        <v>3.6</v>
      </c>
      <c r="G205" s="2">
        <v>2.1</v>
      </c>
      <c r="H205" s="2">
        <v>58.28</v>
      </c>
      <c r="I205" s="2">
        <v>251.85</v>
      </c>
      <c r="J205" s="25"/>
      <c r="K205" s="2">
        <v>6.75</v>
      </c>
      <c r="L205" s="66">
        <v>0</v>
      </c>
      <c r="M205" s="66">
        <v>0</v>
      </c>
      <c r="N205" s="2">
        <v>0.45</v>
      </c>
      <c r="O205" s="1">
        <v>0</v>
      </c>
      <c r="P205" s="2">
        <v>0.06</v>
      </c>
      <c r="Q205" s="66">
        <v>0</v>
      </c>
      <c r="R205" s="66">
        <v>0</v>
      </c>
    </row>
    <row r="206" spans="1:18" ht="18" customHeight="1" x14ac:dyDescent="0.25">
      <c r="A206" s="1">
        <v>376</v>
      </c>
      <c r="B206" s="1" t="s">
        <v>13</v>
      </c>
      <c r="C206" s="29" t="s">
        <v>16</v>
      </c>
      <c r="D206" s="1">
        <v>200</v>
      </c>
      <c r="E206" s="2">
        <v>1.9</v>
      </c>
      <c r="F206" s="2">
        <v>0.1</v>
      </c>
      <c r="G206" s="66">
        <v>0</v>
      </c>
      <c r="H206" s="2">
        <v>15</v>
      </c>
      <c r="I206" s="2">
        <v>60</v>
      </c>
      <c r="J206" s="41"/>
      <c r="K206" s="2">
        <v>5</v>
      </c>
      <c r="L206" s="66">
        <v>0</v>
      </c>
      <c r="M206" s="66">
        <v>0</v>
      </c>
      <c r="N206" s="2">
        <v>2</v>
      </c>
      <c r="O206" s="66">
        <v>0</v>
      </c>
      <c r="P206" s="66">
        <v>0</v>
      </c>
      <c r="Q206" s="66">
        <v>0</v>
      </c>
      <c r="R206" s="2">
        <v>8.3699999999999992</v>
      </c>
    </row>
    <row r="207" spans="1:18" ht="21" customHeight="1" x14ac:dyDescent="0.25">
      <c r="A207" s="97" t="s">
        <v>11</v>
      </c>
      <c r="B207" s="97"/>
      <c r="C207" s="97"/>
      <c r="D207" s="74">
        <f>SUM(D203:D206)</f>
        <v>580</v>
      </c>
      <c r="E207" s="12">
        <f t="shared" ref="E207:R207" si="18">SUM(E203:E206)</f>
        <v>127.23</v>
      </c>
      <c r="F207" s="12">
        <f t="shared" si="18"/>
        <v>24.825000000000003</v>
      </c>
      <c r="G207" s="12">
        <f t="shared" si="18"/>
        <v>37.300000000000004</v>
      </c>
      <c r="H207" s="12">
        <f t="shared" si="18"/>
        <v>112.405</v>
      </c>
      <c r="I207" s="12">
        <f t="shared" si="18"/>
        <v>870.47500000000002</v>
      </c>
      <c r="J207" s="12">
        <f t="shared" si="18"/>
        <v>0</v>
      </c>
      <c r="K207" s="12">
        <f t="shared" si="18"/>
        <v>165.625</v>
      </c>
      <c r="L207" s="12">
        <f t="shared" si="18"/>
        <v>40.875</v>
      </c>
      <c r="M207" s="12">
        <f t="shared" si="18"/>
        <v>368.25</v>
      </c>
      <c r="N207" s="12">
        <f t="shared" si="18"/>
        <v>7.2</v>
      </c>
      <c r="O207" s="12">
        <f t="shared" si="18"/>
        <v>424.75</v>
      </c>
      <c r="P207" s="12">
        <f t="shared" si="18"/>
        <v>0.41</v>
      </c>
      <c r="Q207" s="12">
        <f t="shared" si="18"/>
        <v>0.8</v>
      </c>
      <c r="R207" s="12">
        <f t="shared" si="18"/>
        <v>8.7449999999999992</v>
      </c>
    </row>
    <row r="208" spans="1:18" ht="21.75" customHeight="1" x14ac:dyDescent="0.25">
      <c r="A208" s="94" t="s">
        <v>12</v>
      </c>
      <c r="B208" s="94"/>
      <c r="C208" s="94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</row>
    <row r="209" spans="1:18" ht="18" customHeight="1" x14ac:dyDescent="0.25">
      <c r="A209" s="93" t="s">
        <v>26</v>
      </c>
      <c r="B209" s="92" t="s">
        <v>0</v>
      </c>
      <c r="C209" s="93" t="s">
        <v>35</v>
      </c>
      <c r="D209" s="92" t="s">
        <v>66</v>
      </c>
      <c r="E209" s="92" t="s">
        <v>2</v>
      </c>
      <c r="F209" s="93" t="s">
        <v>55</v>
      </c>
      <c r="G209" s="93" t="s">
        <v>56</v>
      </c>
      <c r="H209" s="93" t="s">
        <v>57</v>
      </c>
      <c r="I209" s="92" t="s">
        <v>3</v>
      </c>
      <c r="J209" s="14"/>
      <c r="K209" s="7" t="s">
        <v>58</v>
      </c>
      <c r="L209" s="7"/>
      <c r="M209" s="7"/>
      <c r="N209" s="7"/>
      <c r="O209" s="92" t="s">
        <v>59</v>
      </c>
      <c r="P209" s="92"/>
      <c r="Q209" s="92"/>
      <c r="R209" s="92"/>
    </row>
    <row r="210" spans="1:18" ht="15" customHeight="1" x14ac:dyDescent="0.25">
      <c r="A210" s="93"/>
      <c r="B210" s="92"/>
      <c r="C210" s="93"/>
      <c r="D210" s="92"/>
      <c r="E210" s="92"/>
      <c r="F210" s="93"/>
      <c r="G210" s="93"/>
      <c r="H210" s="93"/>
      <c r="I210" s="92"/>
      <c r="J210" s="14"/>
      <c r="K210" s="73" t="s">
        <v>27</v>
      </c>
      <c r="L210" s="74" t="s">
        <v>28</v>
      </c>
      <c r="M210" s="74" t="s">
        <v>29</v>
      </c>
      <c r="N210" s="74" t="s">
        <v>30</v>
      </c>
      <c r="O210" s="74" t="s">
        <v>31</v>
      </c>
      <c r="P210" s="74" t="s">
        <v>63</v>
      </c>
      <c r="Q210" s="74" t="s">
        <v>33</v>
      </c>
      <c r="R210" s="74" t="s">
        <v>34</v>
      </c>
    </row>
    <row r="211" spans="1:18" ht="18" customHeight="1" x14ac:dyDescent="0.25">
      <c r="A211" s="1">
        <v>52</v>
      </c>
      <c r="B211" s="1" t="s">
        <v>7</v>
      </c>
      <c r="C211" s="5" t="s">
        <v>71</v>
      </c>
      <c r="D211" s="1">
        <v>100</v>
      </c>
      <c r="E211" s="2">
        <v>9.83</v>
      </c>
      <c r="F211" s="60">
        <v>1.7</v>
      </c>
      <c r="G211" s="60">
        <v>6</v>
      </c>
      <c r="H211" s="60">
        <v>11</v>
      </c>
      <c r="I211" s="2">
        <v>104</v>
      </c>
      <c r="J211" s="2"/>
      <c r="K211" s="2">
        <v>35.200000000000003</v>
      </c>
      <c r="L211" s="2">
        <v>20.8</v>
      </c>
      <c r="M211" s="2">
        <v>41</v>
      </c>
      <c r="N211" s="2">
        <v>1.3</v>
      </c>
      <c r="O211" s="2">
        <v>0</v>
      </c>
      <c r="P211" s="2">
        <v>0</v>
      </c>
      <c r="Q211" s="2">
        <v>0.2</v>
      </c>
      <c r="R211" s="2">
        <v>9.5</v>
      </c>
    </row>
    <row r="212" spans="1:18" ht="18.75" customHeight="1" x14ac:dyDescent="0.25">
      <c r="A212" s="1">
        <v>96</v>
      </c>
      <c r="B212" s="1" t="s">
        <v>8</v>
      </c>
      <c r="C212" s="52" t="s">
        <v>60</v>
      </c>
      <c r="D212" s="30">
        <v>250</v>
      </c>
      <c r="E212" s="2">
        <v>14.17</v>
      </c>
      <c r="F212" s="2">
        <v>2.1</v>
      </c>
      <c r="G212" s="2">
        <v>5.0999999999999996</v>
      </c>
      <c r="H212" s="2">
        <v>20.5</v>
      </c>
      <c r="I212" s="2">
        <v>136.30000000000001</v>
      </c>
      <c r="J212" s="62"/>
      <c r="K212" s="2">
        <v>89.3</v>
      </c>
      <c r="L212" s="2">
        <v>13.5</v>
      </c>
      <c r="M212" s="2">
        <v>33.4</v>
      </c>
      <c r="N212" s="2">
        <v>1</v>
      </c>
      <c r="O212" s="2">
        <v>1.1000000000000001</v>
      </c>
      <c r="P212" s="2">
        <v>3.8</v>
      </c>
      <c r="Q212" s="2">
        <v>0.3</v>
      </c>
      <c r="R212" s="2">
        <v>2.1</v>
      </c>
    </row>
    <row r="213" spans="1:18" ht="18" customHeight="1" x14ac:dyDescent="0.25">
      <c r="A213" s="1">
        <v>291</v>
      </c>
      <c r="B213" s="1" t="s">
        <v>9</v>
      </c>
      <c r="C213" s="52" t="s">
        <v>108</v>
      </c>
      <c r="D213" s="1">
        <v>280</v>
      </c>
      <c r="E213" s="2">
        <v>76.599999999999994</v>
      </c>
      <c r="F213" s="2">
        <v>33.6</v>
      </c>
      <c r="G213" s="2">
        <v>42.82</v>
      </c>
      <c r="H213" s="1">
        <v>54.37</v>
      </c>
      <c r="I213" s="2">
        <v>737.56</v>
      </c>
      <c r="J213" s="25"/>
      <c r="K213" s="1">
        <v>72.680000000000007</v>
      </c>
      <c r="L213" s="1">
        <v>76.42</v>
      </c>
      <c r="M213" s="2">
        <v>321.18</v>
      </c>
      <c r="N213" s="2">
        <v>3.62</v>
      </c>
      <c r="O213" s="1">
        <v>77.349999999999994</v>
      </c>
      <c r="P213" s="66">
        <v>0.03</v>
      </c>
      <c r="Q213" s="66">
        <v>0</v>
      </c>
      <c r="R213" s="1">
        <v>1.63</v>
      </c>
    </row>
    <row r="214" spans="1:18" ht="18" customHeight="1" x14ac:dyDescent="0.25">
      <c r="A214" s="1"/>
      <c r="B214" s="1" t="s">
        <v>13</v>
      </c>
      <c r="C214" s="52" t="s">
        <v>54</v>
      </c>
      <c r="D214" s="1">
        <v>200</v>
      </c>
      <c r="E214" s="2">
        <v>14</v>
      </c>
      <c r="F214" s="2">
        <v>0.2</v>
      </c>
      <c r="G214" s="2">
        <v>0</v>
      </c>
      <c r="H214" s="2">
        <v>3.9</v>
      </c>
      <c r="I214" s="2">
        <v>69</v>
      </c>
      <c r="J214" s="70"/>
      <c r="K214" s="2">
        <v>0.24</v>
      </c>
      <c r="L214" s="2">
        <v>0.2</v>
      </c>
      <c r="M214" s="2">
        <v>0.5</v>
      </c>
      <c r="N214" s="2">
        <v>7</v>
      </c>
      <c r="O214" s="66">
        <v>0</v>
      </c>
      <c r="P214" s="2">
        <v>0.1</v>
      </c>
      <c r="Q214" s="66">
        <v>0</v>
      </c>
      <c r="R214" s="2">
        <v>6</v>
      </c>
    </row>
    <row r="215" spans="1:18" ht="18" customHeight="1" x14ac:dyDescent="0.25">
      <c r="A215" s="1"/>
      <c r="B215" s="1" t="s">
        <v>14</v>
      </c>
      <c r="C215" s="52" t="s">
        <v>76</v>
      </c>
      <c r="D215" s="30">
        <v>40</v>
      </c>
      <c r="E215" s="2">
        <v>3.33</v>
      </c>
      <c r="F215" s="2">
        <f>1.68*40/30</f>
        <v>2.2400000000000002</v>
      </c>
      <c r="G215" s="2">
        <f>0.33*40/30</f>
        <v>0.44000000000000006</v>
      </c>
      <c r="H215" s="2">
        <f>14.82*40/30</f>
        <v>19.759999999999998</v>
      </c>
      <c r="I215" s="2">
        <f>68.97*40/30</f>
        <v>91.960000000000008</v>
      </c>
      <c r="J215" s="41"/>
      <c r="K215" s="2">
        <f>6.9*40/30</f>
        <v>9.1999999999999993</v>
      </c>
      <c r="L215" s="2">
        <f>7.5*40/30</f>
        <v>10</v>
      </c>
      <c r="M215" s="2">
        <f>31.8*40/30</f>
        <v>42.4</v>
      </c>
      <c r="N215" s="2">
        <f>0.93*40/30</f>
        <v>1.24</v>
      </c>
      <c r="O215" s="66">
        <v>0</v>
      </c>
      <c r="P215" s="66">
        <v>0</v>
      </c>
      <c r="Q215" s="66">
        <v>0</v>
      </c>
      <c r="R215" s="66">
        <v>0</v>
      </c>
    </row>
    <row r="216" spans="1:18" ht="18" customHeight="1" x14ac:dyDescent="0.25">
      <c r="A216" s="1"/>
      <c r="B216" s="1" t="s">
        <v>15</v>
      </c>
      <c r="C216" s="5" t="s">
        <v>62</v>
      </c>
      <c r="D216" s="30">
        <v>70</v>
      </c>
      <c r="E216" s="33">
        <v>5.83</v>
      </c>
      <c r="F216" s="33">
        <f>2.37*70/30</f>
        <v>5.53</v>
      </c>
      <c r="G216" s="33">
        <f>0.3*70/30</f>
        <v>0.7</v>
      </c>
      <c r="H216" s="33">
        <f>14.49*70/30</f>
        <v>33.81</v>
      </c>
      <c r="I216" s="33">
        <f>70.14*70/30</f>
        <v>163.66</v>
      </c>
      <c r="J216" s="61"/>
      <c r="K216" s="33">
        <f>6.9*70/30</f>
        <v>16.100000000000001</v>
      </c>
      <c r="L216" s="33">
        <f>9.9*70/30</f>
        <v>23.1</v>
      </c>
      <c r="M216" s="33">
        <f>26.1*70/30</f>
        <v>60.9</v>
      </c>
      <c r="N216" s="33">
        <f>0.33*70/30</f>
        <v>0.77</v>
      </c>
      <c r="O216" s="67">
        <v>0</v>
      </c>
      <c r="P216" s="67">
        <v>0</v>
      </c>
      <c r="Q216" s="67">
        <v>0</v>
      </c>
      <c r="R216" s="67">
        <v>0</v>
      </c>
    </row>
    <row r="217" spans="1:18" ht="18" customHeight="1" x14ac:dyDescent="0.25">
      <c r="A217" s="1">
        <v>386</v>
      </c>
      <c r="B217" s="1" t="s">
        <v>64</v>
      </c>
      <c r="C217" s="25" t="s">
        <v>75</v>
      </c>
      <c r="D217" s="1">
        <v>100</v>
      </c>
      <c r="E217" s="2">
        <v>15.45</v>
      </c>
      <c r="F217" s="2">
        <v>2.7</v>
      </c>
      <c r="G217" s="2">
        <v>2.5</v>
      </c>
      <c r="H217" s="2">
        <v>10.8</v>
      </c>
      <c r="I217" s="2">
        <v>79</v>
      </c>
      <c r="J217" s="41"/>
      <c r="K217" s="2">
        <v>121</v>
      </c>
      <c r="L217" s="2">
        <v>15</v>
      </c>
      <c r="M217" s="2">
        <v>94</v>
      </c>
      <c r="N217" s="2">
        <v>0.1</v>
      </c>
      <c r="O217" s="2">
        <v>20</v>
      </c>
      <c r="P217" s="2">
        <v>4.4999999999999998E-2</v>
      </c>
      <c r="Q217" s="2">
        <v>0.1</v>
      </c>
      <c r="R217" s="2">
        <v>1.35</v>
      </c>
    </row>
    <row r="218" spans="1:18" ht="18" customHeight="1" x14ac:dyDescent="0.25">
      <c r="A218" s="97" t="s">
        <v>11</v>
      </c>
      <c r="B218" s="97"/>
      <c r="C218" s="97"/>
      <c r="D218" s="56">
        <f t="shared" ref="D218:R218" si="19">SUM(D211:D217)</f>
        <v>1040</v>
      </c>
      <c r="E218" s="12">
        <f t="shared" si="19"/>
        <v>139.20999999999998</v>
      </c>
      <c r="F218" s="12">
        <f t="shared" si="19"/>
        <v>48.070000000000007</v>
      </c>
      <c r="G218" s="12">
        <f t="shared" si="19"/>
        <v>57.56</v>
      </c>
      <c r="H218" s="12">
        <f t="shared" si="19"/>
        <v>154.14000000000001</v>
      </c>
      <c r="I218" s="12">
        <f t="shared" si="19"/>
        <v>1381.48</v>
      </c>
      <c r="J218" s="12">
        <f t="shared" si="19"/>
        <v>0</v>
      </c>
      <c r="K218" s="12">
        <f t="shared" si="19"/>
        <v>343.72</v>
      </c>
      <c r="L218" s="12">
        <f t="shared" si="19"/>
        <v>159.02000000000001</v>
      </c>
      <c r="M218" s="12">
        <f t="shared" si="19"/>
        <v>593.38</v>
      </c>
      <c r="N218" s="12">
        <f t="shared" si="19"/>
        <v>15.03</v>
      </c>
      <c r="O218" s="12">
        <f t="shared" si="19"/>
        <v>98.449999999999989</v>
      </c>
      <c r="P218" s="12">
        <f t="shared" si="19"/>
        <v>3.9749999999999996</v>
      </c>
      <c r="Q218" s="12">
        <f t="shared" si="19"/>
        <v>0.6</v>
      </c>
      <c r="R218" s="12">
        <f t="shared" si="19"/>
        <v>20.580000000000002</v>
      </c>
    </row>
    <row r="219" spans="1:18" ht="18" customHeight="1" x14ac:dyDescent="0.25">
      <c r="A219" s="104" t="s">
        <v>17</v>
      </c>
      <c r="B219" s="104"/>
      <c r="C219" s="104"/>
      <c r="D219" s="104"/>
      <c r="E219" s="12">
        <f t="shared" ref="E219:R219" si="20">E207+E218</f>
        <v>266.44</v>
      </c>
      <c r="F219" s="12">
        <f t="shared" si="20"/>
        <v>72.89500000000001</v>
      </c>
      <c r="G219" s="12">
        <f t="shared" si="20"/>
        <v>94.860000000000014</v>
      </c>
      <c r="H219" s="12">
        <f t="shared" si="20"/>
        <v>266.54500000000002</v>
      </c>
      <c r="I219" s="12">
        <f t="shared" si="20"/>
        <v>2251.9549999999999</v>
      </c>
      <c r="J219" s="12">
        <f t="shared" si="20"/>
        <v>0</v>
      </c>
      <c r="K219" s="12">
        <f t="shared" si="20"/>
        <v>509.34500000000003</v>
      </c>
      <c r="L219" s="12">
        <f t="shared" si="20"/>
        <v>199.89500000000001</v>
      </c>
      <c r="M219" s="12">
        <f t="shared" si="20"/>
        <v>961.63</v>
      </c>
      <c r="N219" s="12">
        <f t="shared" si="20"/>
        <v>22.23</v>
      </c>
      <c r="O219" s="12">
        <f t="shared" si="20"/>
        <v>523.20000000000005</v>
      </c>
      <c r="P219" s="12">
        <f t="shared" si="20"/>
        <v>4.3849999999999998</v>
      </c>
      <c r="Q219" s="12">
        <f t="shared" si="20"/>
        <v>1.4</v>
      </c>
      <c r="R219" s="12">
        <f t="shared" si="20"/>
        <v>29.325000000000003</v>
      </c>
    </row>
    <row r="220" spans="1:18" x14ac:dyDescent="0.25">
      <c r="A220" s="15"/>
      <c r="B220" s="15"/>
      <c r="C220" s="15"/>
      <c r="D220" s="15"/>
      <c r="E220" s="17"/>
      <c r="F220" s="17"/>
      <c r="G220" s="17"/>
      <c r="H220" s="17"/>
      <c r="I220" s="17"/>
      <c r="J220" s="19"/>
      <c r="K220" s="16"/>
      <c r="L220" s="17"/>
      <c r="M220" s="17"/>
      <c r="N220" s="16"/>
      <c r="O220" s="16"/>
      <c r="P220" s="16"/>
      <c r="Q220" s="20"/>
      <c r="R220" s="17"/>
    </row>
    <row r="221" spans="1:18" x14ac:dyDescent="0.25">
      <c r="A221" s="15"/>
      <c r="B221" s="15"/>
      <c r="C221" s="15"/>
      <c r="D221" s="15"/>
      <c r="E221" s="17"/>
      <c r="F221" s="17"/>
      <c r="G221" s="17"/>
      <c r="H221" s="17"/>
      <c r="I221" s="17"/>
      <c r="J221" s="19"/>
      <c r="K221" s="16"/>
      <c r="L221" s="17"/>
      <c r="M221" s="17"/>
      <c r="N221" s="16"/>
      <c r="O221" s="16"/>
      <c r="P221" s="16"/>
      <c r="Q221" s="20"/>
      <c r="R221" s="17"/>
    </row>
    <row r="222" spans="1:18" x14ac:dyDescent="0.25">
      <c r="A222" s="15"/>
      <c r="B222" s="15"/>
      <c r="C222" s="15"/>
      <c r="D222" s="15"/>
      <c r="E222" s="17"/>
      <c r="F222" s="17"/>
      <c r="G222" s="17"/>
      <c r="H222" s="17"/>
      <c r="I222" s="17"/>
      <c r="J222" s="19"/>
      <c r="K222" s="16"/>
      <c r="L222" s="17"/>
      <c r="M222" s="17"/>
      <c r="N222" s="16"/>
      <c r="O222" s="16"/>
      <c r="P222" s="16"/>
      <c r="Q222" s="20"/>
      <c r="R222" s="17"/>
    </row>
    <row r="223" spans="1:18" x14ac:dyDescent="0.25">
      <c r="A223" s="121" t="s">
        <v>37</v>
      </c>
      <c r="B223" s="121"/>
      <c r="C223" s="121"/>
      <c r="D223" s="15"/>
      <c r="E223" s="17"/>
      <c r="F223" s="17"/>
      <c r="G223" s="17"/>
      <c r="H223" s="17"/>
      <c r="I223" s="17"/>
      <c r="J223" s="19"/>
      <c r="K223" s="16"/>
      <c r="L223" s="17"/>
      <c r="M223" s="138" t="s">
        <v>103</v>
      </c>
      <c r="N223" s="138"/>
      <c r="O223" s="138"/>
      <c r="P223" s="138"/>
      <c r="Q223" s="138"/>
      <c r="R223" s="138"/>
    </row>
    <row r="224" spans="1:18" x14ac:dyDescent="0.25">
      <c r="A224" s="122" t="s">
        <v>48</v>
      </c>
      <c r="B224" s="122"/>
      <c r="C224" s="122"/>
      <c r="D224" s="15"/>
      <c r="E224" s="17"/>
      <c r="F224" s="17"/>
      <c r="G224" s="17"/>
      <c r="H224" s="17"/>
      <c r="I224" s="17"/>
      <c r="J224" s="19"/>
      <c r="K224" s="16"/>
      <c r="L224" s="17"/>
      <c r="M224" s="139" t="s">
        <v>111</v>
      </c>
      <c r="N224" s="139"/>
      <c r="O224" s="139"/>
      <c r="P224" s="139"/>
      <c r="Q224" s="139"/>
      <c r="R224" s="139"/>
    </row>
    <row r="225" spans="1:18" x14ac:dyDescent="0.25">
      <c r="A225" s="123" t="s">
        <v>100</v>
      </c>
      <c r="B225" s="123"/>
      <c r="C225" s="123"/>
      <c r="D225" s="15"/>
      <c r="E225" s="17"/>
      <c r="F225" s="17"/>
      <c r="G225" s="17"/>
      <c r="H225" s="17"/>
      <c r="I225" s="17"/>
      <c r="J225" s="19"/>
      <c r="K225" s="16"/>
      <c r="L225" s="17"/>
      <c r="M225" s="139" t="s">
        <v>106</v>
      </c>
      <c r="N225" s="139"/>
      <c r="O225" s="139"/>
      <c r="P225" s="139"/>
      <c r="Q225" s="139"/>
      <c r="R225" s="139"/>
    </row>
    <row r="226" spans="1:18" x14ac:dyDescent="0.25">
      <c r="A226" s="124" t="s">
        <v>128</v>
      </c>
      <c r="B226" s="124"/>
      <c r="C226" s="124"/>
      <c r="D226" s="15"/>
      <c r="E226" s="17"/>
      <c r="F226" s="17"/>
      <c r="G226" s="17"/>
      <c r="H226" s="17"/>
      <c r="I226" s="17"/>
      <c r="J226" s="19"/>
      <c r="K226" s="16"/>
      <c r="L226" s="17"/>
      <c r="M226" s="140" t="s">
        <v>130</v>
      </c>
      <c r="N226" s="140"/>
      <c r="O226" s="140"/>
      <c r="P226" s="140"/>
      <c r="Q226" s="140"/>
      <c r="R226" s="140"/>
    </row>
    <row r="227" spans="1:18" ht="18.75" x14ac:dyDescent="0.25">
      <c r="A227" s="115" t="s">
        <v>5</v>
      </c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</row>
    <row r="228" spans="1:18" ht="15.75" x14ac:dyDescent="0.25">
      <c r="A228" s="116" t="s">
        <v>6</v>
      </c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</row>
    <row r="229" spans="1:18" ht="15.75" x14ac:dyDescent="0.25">
      <c r="A229" s="117" t="s">
        <v>92</v>
      </c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  <c r="Q229" s="117"/>
      <c r="R229" s="117"/>
    </row>
    <row r="230" spans="1:18" ht="18" customHeight="1" x14ac:dyDescent="0.25">
      <c r="A230" s="101" t="s">
        <v>44</v>
      </c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3"/>
    </row>
    <row r="231" spans="1:18" ht="18.75" customHeight="1" x14ac:dyDescent="0.25">
      <c r="A231" s="94" t="s">
        <v>4</v>
      </c>
      <c r="B231" s="94"/>
      <c r="C231" s="94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</row>
    <row r="232" spans="1:18" ht="18" customHeight="1" x14ac:dyDescent="0.25">
      <c r="A232" s="93" t="s">
        <v>26</v>
      </c>
      <c r="B232" s="92" t="s">
        <v>0</v>
      </c>
      <c r="C232" s="93" t="s">
        <v>35</v>
      </c>
      <c r="D232" s="92" t="s">
        <v>1</v>
      </c>
      <c r="E232" s="92" t="s">
        <v>2</v>
      </c>
      <c r="F232" s="95" t="s">
        <v>55</v>
      </c>
      <c r="G232" s="95" t="s">
        <v>56</v>
      </c>
      <c r="H232" s="95" t="s">
        <v>57</v>
      </c>
      <c r="I232" s="92" t="s">
        <v>3</v>
      </c>
      <c r="J232" s="14"/>
      <c r="K232" s="7" t="s">
        <v>58</v>
      </c>
      <c r="L232" s="7"/>
      <c r="M232" s="7"/>
      <c r="N232" s="7"/>
      <c r="O232" s="92" t="s">
        <v>59</v>
      </c>
      <c r="P232" s="92"/>
      <c r="Q232" s="92"/>
      <c r="R232" s="92"/>
    </row>
    <row r="233" spans="1:18" ht="15" customHeight="1" x14ac:dyDescent="0.25">
      <c r="A233" s="93"/>
      <c r="B233" s="92"/>
      <c r="C233" s="93"/>
      <c r="D233" s="92"/>
      <c r="E233" s="92"/>
      <c r="F233" s="96"/>
      <c r="G233" s="96"/>
      <c r="H233" s="96"/>
      <c r="I233" s="92"/>
      <c r="J233" s="14"/>
      <c r="K233" s="28" t="s">
        <v>27</v>
      </c>
      <c r="L233" s="23" t="s">
        <v>28</v>
      </c>
      <c r="M233" s="23" t="s">
        <v>29</v>
      </c>
      <c r="N233" s="23" t="s">
        <v>30</v>
      </c>
      <c r="O233" s="23" t="s">
        <v>31</v>
      </c>
      <c r="P233" s="23" t="s">
        <v>63</v>
      </c>
      <c r="Q233" s="23" t="s">
        <v>33</v>
      </c>
      <c r="R233" s="23" t="s">
        <v>34</v>
      </c>
    </row>
    <row r="234" spans="1:18" ht="30.75" customHeight="1" x14ac:dyDescent="0.25">
      <c r="A234" s="24">
        <v>175</v>
      </c>
      <c r="B234" s="24" t="s">
        <v>7</v>
      </c>
      <c r="C234" s="88" t="s">
        <v>84</v>
      </c>
      <c r="D234" s="42" t="s">
        <v>72</v>
      </c>
      <c r="E234" s="43">
        <v>34.83</v>
      </c>
      <c r="F234" s="43">
        <f>5.8*250/210</f>
        <v>6.9047619047619051</v>
      </c>
      <c r="G234" s="43">
        <f>10.67*250/210</f>
        <v>12.702380952380953</v>
      </c>
      <c r="H234" s="43">
        <f>41.48*250/210</f>
        <v>49.38095238095238</v>
      </c>
      <c r="I234" s="43">
        <f>286.36*250/210</f>
        <v>340.90476190476193</v>
      </c>
      <c r="J234" s="42">
        <v>195</v>
      </c>
      <c r="K234" s="43">
        <f>127.7*250/210</f>
        <v>152.02380952380952</v>
      </c>
      <c r="L234" s="43">
        <f>35.53*250/210</f>
        <v>42.297619047619051</v>
      </c>
      <c r="M234" s="43">
        <f>149.6*250/210</f>
        <v>178.0952380952381</v>
      </c>
      <c r="N234" s="43">
        <f>0.8*250/210</f>
        <v>0.95238095238095233</v>
      </c>
      <c r="O234" s="43">
        <f>52.31*250/210</f>
        <v>62.273809523809526</v>
      </c>
      <c r="P234" s="43">
        <f>0.1*250/210</f>
        <v>0.11904761904761904</v>
      </c>
      <c r="Q234" s="43">
        <f>0.55*250/210</f>
        <v>0.65476190476190477</v>
      </c>
      <c r="R234" s="33">
        <f>0.92*250/210</f>
        <v>1.0952380952380953</v>
      </c>
    </row>
    <row r="235" spans="1:18" ht="18" customHeight="1" x14ac:dyDescent="0.25">
      <c r="A235" s="1"/>
      <c r="B235" s="1" t="s">
        <v>8</v>
      </c>
      <c r="C235" s="5" t="s">
        <v>62</v>
      </c>
      <c r="D235" s="1">
        <v>50</v>
      </c>
      <c r="E235" s="2">
        <v>4.17</v>
      </c>
      <c r="F235" s="2">
        <v>3.95</v>
      </c>
      <c r="G235" s="2">
        <v>0.5</v>
      </c>
      <c r="H235" s="2">
        <v>24.15</v>
      </c>
      <c r="I235" s="2">
        <v>116.9</v>
      </c>
      <c r="J235" s="25"/>
      <c r="K235" s="2">
        <v>11.5</v>
      </c>
      <c r="L235" s="2">
        <v>16.5</v>
      </c>
      <c r="M235" s="2">
        <v>43.5</v>
      </c>
      <c r="N235" s="2">
        <v>0.55000000000000004</v>
      </c>
      <c r="O235" s="1">
        <v>0</v>
      </c>
      <c r="P235" s="66">
        <v>0</v>
      </c>
      <c r="Q235" s="66">
        <v>0</v>
      </c>
      <c r="R235" s="66">
        <v>0</v>
      </c>
    </row>
    <row r="236" spans="1:18" ht="18" customHeight="1" x14ac:dyDescent="0.25">
      <c r="A236" s="1">
        <v>15</v>
      </c>
      <c r="B236" s="1" t="s">
        <v>9</v>
      </c>
      <c r="C236" s="25" t="s">
        <v>85</v>
      </c>
      <c r="D236" s="1">
        <v>20</v>
      </c>
      <c r="E236" s="2">
        <v>21.76</v>
      </c>
      <c r="F236" s="33">
        <v>4.6399999999999997</v>
      </c>
      <c r="G236" s="33">
        <v>5.9</v>
      </c>
      <c r="H236" s="67">
        <v>0</v>
      </c>
      <c r="I236" s="33">
        <v>71.66</v>
      </c>
      <c r="J236" s="61"/>
      <c r="K236" s="33">
        <v>176</v>
      </c>
      <c r="L236" s="33">
        <v>7</v>
      </c>
      <c r="M236" s="33">
        <v>100</v>
      </c>
      <c r="N236" s="33">
        <v>0.2</v>
      </c>
      <c r="O236" s="33">
        <v>52</v>
      </c>
      <c r="P236" s="67">
        <v>0</v>
      </c>
      <c r="Q236" s="67">
        <v>0</v>
      </c>
      <c r="R236" s="67">
        <v>0</v>
      </c>
    </row>
    <row r="237" spans="1:18" ht="18" customHeight="1" x14ac:dyDescent="0.25">
      <c r="A237" s="1"/>
      <c r="B237" s="1" t="s">
        <v>13</v>
      </c>
      <c r="C237" s="25" t="s">
        <v>25</v>
      </c>
      <c r="D237" s="1">
        <v>25</v>
      </c>
      <c r="E237" s="2">
        <v>6.5</v>
      </c>
      <c r="F237" s="2">
        <v>1.75</v>
      </c>
      <c r="G237" s="2">
        <v>4.5</v>
      </c>
      <c r="H237" s="2">
        <v>16.5</v>
      </c>
      <c r="I237" s="2">
        <v>100</v>
      </c>
      <c r="J237" s="1"/>
      <c r="K237" s="2">
        <v>5.75</v>
      </c>
      <c r="L237" s="2">
        <v>2.5</v>
      </c>
      <c r="M237" s="2">
        <v>16.25</v>
      </c>
      <c r="N237" s="2">
        <v>1.05</v>
      </c>
      <c r="O237" s="66">
        <v>0</v>
      </c>
      <c r="P237" s="2">
        <v>0.09</v>
      </c>
      <c r="Q237" s="2">
        <v>0.42</v>
      </c>
      <c r="R237" s="66">
        <f t="shared" ref="R237" si="21">0*30/50</f>
        <v>0</v>
      </c>
    </row>
    <row r="238" spans="1:18" ht="18" customHeight="1" x14ac:dyDescent="0.25">
      <c r="A238" s="1">
        <v>382</v>
      </c>
      <c r="B238" s="1" t="s">
        <v>14</v>
      </c>
      <c r="C238" s="29" t="s">
        <v>10</v>
      </c>
      <c r="D238" s="30">
        <v>200</v>
      </c>
      <c r="E238" s="33">
        <v>17.12</v>
      </c>
      <c r="F238" s="30">
        <v>2.94</v>
      </c>
      <c r="G238" s="30">
        <v>3.42</v>
      </c>
      <c r="H238" s="30">
        <v>17.579999999999998</v>
      </c>
      <c r="I238" s="33">
        <v>118.6</v>
      </c>
      <c r="J238" s="30"/>
      <c r="K238" s="33">
        <v>152.19999999999999</v>
      </c>
      <c r="L238" s="33">
        <v>21.34</v>
      </c>
      <c r="M238" s="33">
        <v>124.56</v>
      </c>
      <c r="N238" s="33">
        <v>0.48</v>
      </c>
      <c r="O238" s="33">
        <v>24.4</v>
      </c>
      <c r="P238" s="33">
        <v>0.06</v>
      </c>
      <c r="Q238" s="31">
        <v>0.17</v>
      </c>
      <c r="R238" s="33">
        <v>1.59</v>
      </c>
    </row>
    <row r="239" spans="1:18" ht="18" customHeight="1" x14ac:dyDescent="0.25">
      <c r="A239" s="97" t="s">
        <v>11</v>
      </c>
      <c r="B239" s="97"/>
      <c r="C239" s="97"/>
      <c r="D239" s="45">
        <v>555</v>
      </c>
      <c r="E239" s="12">
        <f t="shared" ref="E239:R239" si="22">SUM(E234:E238)</f>
        <v>84.38000000000001</v>
      </c>
      <c r="F239" s="12">
        <f t="shared" si="22"/>
        <v>20.184761904761906</v>
      </c>
      <c r="G239" s="12">
        <f t="shared" si="22"/>
        <v>27.022380952380956</v>
      </c>
      <c r="H239" s="12">
        <f t="shared" si="22"/>
        <v>107.61095238095238</v>
      </c>
      <c r="I239" s="12">
        <f t="shared" si="22"/>
        <v>748.06476190476189</v>
      </c>
      <c r="J239" s="12">
        <f t="shared" si="22"/>
        <v>195</v>
      </c>
      <c r="K239" s="12">
        <f t="shared" si="22"/>
        <v>497.47380952380951</v>
      </c>
      <c r="L239" s="12">
        <f t="shared" si="22"/>
        <v>89.637619047619054</v>
      </c>
      <c r="M239" s="12">
        <f t="shared" si="22"/>
        <v>462.40523809523808</v>
      </c>
      <c r="N239" s="12">
        <f t="shared" si="22"/>
        <v>3.2323809523809524</v>
      </c>
      <c r="O239" s="12">
        <f t="shared" si="22"/>
        <v>138.67380952380952</v>
      </c>
      <c r="P239" s="12">
        <f t="shared" si="22"/>
        <v>0.26904761904761904</v>
      </c>
      <c r="Q239" s="12">
        <f t="shared" si="22"/>
        <v>1.2447619047619047</v>
      </c>
      <c r="R239" s="12">
        <f t="shared" si="22"/>
        <v>2.6852380952380956</v>
      </c>
    </row>
    <row r="240" spans="1:18" ht="18" customHeight="1" x14ac:dyDescent="0.25">
      <c r="A240" s="94" t="s">
        <v>12</v>
      </c>
      <c r="B240" s="94"/>
      <c r="C240" s="94"/>
      <c r="D240" s="94"/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94"/>
      <c r="R240" s="94"/>
    </row>
    <row r="241" spans="1:18" ht="18" customHeight="1" x14ac:dyDescent="0.25">
      <c r="A241" s="93" t="s">
        <v>26</v>
      </c>
      <c r="B241" s="92" t="s">
        <v>0</v>
      </c>
      <c r="C241" s="93" t="s">
        <v>35</v>
      </c>
      <c r="D241" s="92" t="s">
        <v>1</v>
      </c>
      <c r="E241" s="92" t="s">
        <v>2</v>
      </c>
      <c r="F241" s="95" t="s">
        <v>55</v>
      </c>
      <c r="G241" s="95" t="s">
        <v>56</v>
      </c>
      <c r="H241" s="95" t="s">
        <v>57</v>
      </c>
      <c r="I241" s="92" t="s">
        <v>3</v>
      </c>
      <c r="J241" s="14"/>
      <c r="K241" s="7" t="s">
        <v>58</v>
      </c>
      <c r="L241" s="7"/>
      <c r="M241" s="7"/>
      <c r="N241" s="7"/>
      <c r="O241" s="92" t="s">
        <v>59</v>
      </c>
      <c r="P241" s="92"/>
      <c r="Q241" s="92"/>
      <c r="R241" s="92"/>
    </row>
    <row r="242" spans="1:18" ht="15" customHeight="1" x14ac:dyDescent="0.25">
      <c r="A242" s="93"/>
      <c r="B242" s="92"/>
      <c r="C242" s="93"/>
      <c r="D242" s="92"/>
      <c r="E242" s="92"/>
      <c r="F242" s="96"/>
      <c r="G242" s="96"/>
      <c r="H242" s="96"/>
      <c r="I242" s="92"/>
      <c r="J242" s="14"/>
      <c r="K242" s="28" t="s">
        <v>27</v>
      </c>
      <c r="L242" s="23" t="s">
        <v>28</v>
      </c>
      <c r="M242" s="23" t="s">
        <v>29</v>
      </c>
      <c r="N242" s="23" t="s">
        <v>30</v>
      </c>
      <c r="O242" s="23" t="s">
        <v>31</v>
      </c>
      <c r="P242" s="23" t="s">
        <v>63</v>
      </c>
      <c r="Q242" s="23" t="s">
        <v>33</v>
      </c>
      <c r="R242" s="23" t="s">
        <v>34</v>
      </c>
    </row>
    <row r="243" spans="1:18" ht="18" customHeight="1" x14ac:dyDescent="0.25">
      <c r="A243" s="1">
        <v>71</v>
      </c>
      <c r="B243" s="1" t="s">
        <v>7</v>
      </c>
      <c r="C243" s="5" t="s">
        <v>70</v>
      </c>
      <c r="D243" s="1">
        <v>100</v>
      </c>
      <c r="E243" s="2">
        <v>36.82</v>
      </c>
      <c r="F243" s="76">
        <v>0.8</v>
      </c>
      <c r="G243" s="76">
        <v>0</v>
      </c>
      <c r="H243" s="76">
        <v>3.3</v>
      </c>
      <c r="I243" s="2">
        <v>16</v>
      </c>
      <c r="J243" s="62"/>
      <c r="K243" s="2">
        <v>23</v>
      </c>
      <c r="L243" s="66">
        <v>0</v>
      </c>
      <c r="M243" s="66">
        <v>0</v>
      </c>
      <c r="N243" s="2">
        <v>0.5</v>
      </c>
      <c r="O243" s="66">
        <v>0</v>
      </c>
      <c r="P243" s="66">
        <v>0</v>
      </c>
      <c r="Q243" s="66">
        <v>0</v>
      </c>
      <c r="R243" s="2">
        <v>5</v>
      </c>
    </row>
    <row r="244" spans="1:18" ht="17.25" customHeight="1" x14ac:dyDescent="0.25">
      <c r="A244" s="1">
        <v>102</v>
      </c>
      <c r="B244" s="1" t="s">
        <v>8</v>
      </c>
      <c r="C244" s="52" t="s">
        <v>99</v>
      </c>
      <c r="D244" s="30">
        <v>250</v>
      </c>
      <c r="E244" s="2">
        <v>8.9499999999999993</v>
      </c>
      <c r="F244" s="2">
        <f>5.1*250/200</f>
        <v>6.375</v>
      </c>
      <c r="G244" s="2">
        <f>5.4*250/200</f>
        <v>6.75</v>
      </c>
      <c r="H244" s="2">
        <f>23.9*250/200</f>
        <v>29.875</v>
      </c>
      <c r="I244" s="2">
        <f>163.8*250/200</f>
        <v>204.75</v>
      </c>
      <c r="J244" s="63"/>
      <c r="K244" s="2">
        <f>45.8*250/200</f>
        <v>57.25</v>
      </c>
      <c r="L244" s="2">
        <f>35.5*250/200</f>
        <v>44.375</v>
      </c>
      <c r="M244" s="2">
        <v>0</v>
      </c>
      <c r="N244" s="2">
        <f>4.6*250/200</f>
        <v>5.75</v>
      </c>
      <c r="O244" s="66">
        <v>0</v>
      </c>
      <c r="P244" s="66">
        <v>0</v>
      </c>
      <c r="Q244" s="66">
        <v>0</v>
      </c>
      <c r="R244" s="2">
        <f>11.2*250/200</f>
        <v>14</v>
      </c>
    </row>
    <row r="245" spans="1:18" ht="18" customHeight="1" x14ac:dyDescent="0.25">
      <c r="A245" s="1">
        <v>234</v>
      </c>
      <c r="B245" s="1" t="s">
        <v>9</v>
      </c>
      <c r="C245" s="86" t="s">
        <v>50</v>
      </c>
      <c r="D245" s="1" t="s">
        <v>87</v>
      </c>
      <c r="E245" s="2">
        <v>40.28</v>
      </c>
      <c r="F245" s="2">
        <v>14.8</v>
      </c>
      <c r="G245" s="2">
        <v>18.8</v>
      </c>
      <c r="H245" s="2">
        <v>11.6</v>
      </c>
      <c r="I245" s="2">
        <v>274</v>
      </c>
      <c r="J245" s="41"/>
      <c r="K245" s="2">
        <v>139.30000000000001</v>
      </c>
      <c r="L245" s="2">
        <v>0</v>
      </c>
      <c r="M245" s="2">
        <v>0</v>
      </c>
      <c r="N245" s="2">
        <v>1</v>
      </c>
      <c r="O245" s="66">
        <v>0</v>
      </c>
      <c r="P245" s="2">
        <v>0.2</v>
      </c>
      <c r="Q245" s="66">
        <v>0</v>
      </c>
      <c r="R245" s="2">
        <v>6.8</v>
      </c>
    </row>
    <row r="246" spans="1:18" ht="18" customHeight="1" x14ac:dyDescent="0.25">
      <c r="A246" s="1">
        <v>312</v>
      </c>
      <c r="B246" s="1" t="s">
        <v>13</v>
      </c>
      <c r="C246" s="5" t="s">
        <v>110</v>
      </c>
      <c r="D246" s="1">
        <v>180</v>
      </c>
      <c r="E246" s="1">
        <v>26.92</v>
      </c>
      <c r="F246" s="2">
        <v>3.72</v>
      </c>
      <c r="G246" s="2">
        <v>6.12</v>
      </c>
      <c r="H246" s="2">
        <v>22.28</v>
      </c>
      <c r="I246" s="2">
        <v>159.12</v>
      </c>
      <c r="J246" s="63"/>
      <c r="K246" s="2">
        <v>204.48</v>
      </c>
      <c r="L246" s="2">
        <v>19.98</v>
      </c>
      <c r="M246" s="2">
        <v>131.97999999999999</v>
      </c>
      <c r="N246" s="2">
        <v>0.44</v>
      </c>
      <c r="O246" s="2">
        <v>0.32</v>
      </c>
      <c r="P246" s="2">
        <v>0.06</v>
      </c>
      <c r="Q246" s="2">
        <v>0.14000000000000001</v>
      </c>
      <c r="R246" s="2">
        <v>1.81</v>
      </c>
    </row>
    <row r="247" spans="1:18" ht="18" customHeight="1" x14ac:dyDescent="0.25">
      <c r="A247" s="1">
        <v>349</v>
      </c>
      <c r="B247" s="1" t="s">
        <v>14</v>
      </c>
      <c r="C247" s="52" t="s">
        <v>49</v>
      </c>
      <c r="D247" s="30">
        <v>200</v>
      </c>
      <c r="E247" s="1">
        <v>6.22</v>
      </c>
      <c r="F247" s="2">
        <v>0.6</v>
      </c>
      <c r="G247" s="2">
        <v>0.09</v>
      </c>
      <c r="H247" s="2">
        <v>32.01</v>
      </c>
      <c r="I247" s="2">
        <v>132.80000000000001</v>
      </c>
      <c r="J247" s="41"/>
      <c r="K247" s="2">
        <v>32.479999999999997</v>
      </c>
      <c r="L247" s="2">
        <v>17.46</v>
      </c>
      <c r="M247" s="2">
        <v>23.44</v>
      </c>
      <c r="N247" s="2">
        <v>0.7</v>
      </c>
      <c r="O247" s="2">
        <v>0</v>
      </c>
      <c r="P247" s="2">
        <v>0.02</v>
      </c>
      <c r="Q247" s="2">
        <v>0.26</v>
      </c>
      <c r="R247" s="2">
        <v>0.73</v>
      </c>
    </row>
    <row r="248" spans="1:18" ht="18" customHeight="1" x14ac:dyDescent="0.25">
      <c r="A248" s="1"/>
      <c r="B248" s="1" t="s">
        <v>15</v>
      </c>
      <c r="C248" s="52" t="s">
        <v>76</v>
      </c>
      <c r="D248" s="30">
        <v>40</v>
      </c>
      <c r="E248" s="2">
        <v>3.33</v>
      </c>
      <c r="F248" s="2">
        <f>1.68*40/30</f>
        <v>2.2400000000000002</v>
      </c>
      <c r="G248" s="2">
        <f>0.33*40/30</f>
        <v>0.44000000000000006</v>
      </c>
      <c r="H248" s="2">
        <f>14.82*40/30</f>
        <v>19.759999999999998</v>
      </c>
      <c r="I248" s="2">
        <f>68.97*40/30</f>
        <v>91.960000000000008</v>
      </c>
      <c r="J248" s="41"/>
      <c r="K248" s="2">
        <f>6.9*40/30</f>
        <v>9.1999999999999993</v>
      </c>
      <c r="L248" s="2">
        <f>7.5*40/30</f>
        <v>10</v>
      </c>
      <c r="M248" s="2">
        <f>31.8*40/30</f>
        <v>42.4</v>
      </c>
      <c r="N248" s="2">
        <f>0.93*40/30</f>
        <v>1.24</v>
      </c>
      <c r="O248" s="66">
        <v>0</v>
      </c>
      <c r="P248" s="66">
        <v>0</v>
      </c>
      <c r="Q248" s="66">
        <v>0</v>
      </c>
      <c r="R248" s="66">
        <v>0</v>
      </c>
    </row>
    <row r="249" spans="1:18" ht="18" customHeight="1" x14ac:dyDescent="0.25">
      <c r="A249" s="1"/>
      <c r="B249" s="1" t="s">
        <v>64</v>
      </c>
      <c r="C249" s="5" t="s">
        <v>62</v>
      </c>
      <c r="D249" s="30">
        <v>70</v>
      </c>
      <c r="E249" s="33">
        <v>5.83</v>
      </c>
      <c r="F249" s="33">
        <f>2.37*70/30</f>
        <v>5.53</v>
      </c>
      <c r="G249" s="33">
        <f>0.3*70/30</f>
        <v>0.7</v>
      </c>
      <c r="H249" s="33">
        <f>14.49*70/30</f>
        <v>33.81</v>
      </c>
      <c r="I249" s="33">
        <f>70.14*70/30</f>
        <v>163.66</v>
      </c>
      <c r="J249" s="61"/>
      <c r="K249" s="33">
        <f>6.9*70/30</f>
        <v>16.100000000000001</v>
      </c>
      <c r="L249" s="33">
        <f>9.9*70/30</f>
        <v>23.1</v>
      </c>
      <c r="M249" s="33">
        <f>26.1*70/30</f>
        <v>60.9</v>
      </c>
      <c r="N249" s="33">
        <f>0.33*70/30</f>
        <v>0.77</v>
      </c>
      <c r="O249" s="67">
        <v>0</v>
      </c>
      <c r="P249" s="67">
        <v>0</v>
      </c>
      <c r="Q249" s="67">
        <v>0</v>
      </c>
      <c r="R249" s="67">
        <v>0</v>
      </c>
    </row>
    <row r="250" spans="1:18" ht="18" customHeight="1" x14ac:dyDescent="0.25">
      <c r="A250" s="1">
        <v>386</v>
      </c>
      <c r="B250" s="1" t="s">
        <v>73</v>
      </c>
      <c r="C250" s="25" t="s">
        <v>75</v>
      </c>
      <c r="D250" s="1">
        <v>100</v>
      </c>
      <c r="E250" s="2">
        <v>15.45</v>
      </c>
      <c r="F250" s="2">
        <v>2.7</v>
      </c>
      <c r="G250" s="2">
        <v>2.5</v>
      </c>
      <c r="H250" s="2">
        <v>10.8</v>
      </c>
      <c r="I250" s="2">
        <v>79</v>
      </c>
      <c r="J250" s="41"/>
      <c r="K250" s="2">
        <v>121</v>
      </c>
      <c r="L250" s="2">
        <v>15</v>
      </c>
      <c r="M250" s="2">
        <v>94</v>
      </c>
      <c r="N250" s="2">
        <v>0.1</v>
      </c>
      <c r="O250" s="2">
        <v>20</v>
      </c>
      <c r="P250" s="2">
        <v>4.4999999999999998E-2</v>
      </c>
      <c r="Q250" s="2">
        <v>0.1</v>
      </c>
      <c r="R250" s="2">
        <v>1.35</v>
      </c>
    </row>
    <row r="251" spans="1:18" ht="18" customHeight="1" x14ac:dyDescent="0.25">
      <c r="A251" s="97" t="s">
        <v>11</v>
      </c>
      <c r="B251" s="97"/>
      <c r="C251" s="97"/>
      <c r="D251" s="23">
        <v>1045</v>
      </c>
      <c r="E251" s="23">
        <f t="shared" ref="E251:R251" si="23">SUM(E243:E250)</f>
        <v>143.79999999999998</v>
      </c>
      <c r="F251" s="12">
        <f t="shared" si="23"/>
        <v>36.765000000000008</v>
      </c>
      <c r="G251" s="12">
        <f t="shared" si="23"/>
        <v>35.400000000000006</v>
      </c>
      <c r="H251" s="12">
        <f t="shared" si="23"/>
        <v>163.435</v>
      </c>
      <c r="I251" s="12">
        <f t="shared" si="23"/>
        <v>1121.2900000000002</v>
      </c>
      <c r="J251" s="12">
        <f t="shared" si="23"/>
        <v>0</v>
      </c>
      <c r="K251" s="12">
        <f t="shared" si="23"/>
        <v>602.80999999999995</v>
      </c>
      <c r="L251" s="12">
        <f t="shared" si="23"/>
        <v>129.91499999999999</v>
      </c>
      <c r="M251" s="12">
        <f t="shared" si="23"/>
        <v>352.71999999999997</v>
      </c>
      <c r="N251" s="12">
        <f t="shared" si="23"/>
        <v>10.5</v>
      </c>
      <c r="O251" s="12">
        <f t="shared" si="23"/>
        <v>20.32</v>
      </c>
      <c r="P251" s="12">
        <f t="shared" si="23"/>
        <v>0.32500000000000001</v>
      </c>
      <c r="Q251" s="12">
        <f t="shared" si="23"/>
        <v>0.5</v>
      </c>
      <c r="R251" s="12">
        <f t="shared" si="23"/>
        <v>29.69</v>
      </c>
    </row>
    <row r="252" spans="1:18" ht="18" customHeight="1" x14ac:dyDescent="0.25">
      <c r="A252" s="104" t="s">
        <v>17</v>
      </c>
      <c r="B252" s="104"/>
      <c r="C252" s="104"/>
      <c r="D252" s="104"/>
      <c r="E252" s="12">
        <f>E239+E251</f>
        <v>228.18</v>
      </c>
      <c r="F252" s="12">
        <f>F239+F251</f>
        <v>56.949761904761914</v>
      </c>
      <c r="G252" s="12">
        <f>G239+G251</f>
        <v>62.422380952380962</v>
      </c>
      <c r="H252" s="12">
        <f>H239+H251</f>
        <v>271.04595238095237</v>
      </c>
      <c r="I252" s="12">
        <f>I239+I251</f>
        <v>1869.3547619047622</v>
      </c>
      <c r="J252" s="41"/>
      <c r="K252" s="12">
        <f t="shared" ref="K252:R252" si="24">K239+K251</f>
        <v>1100.2838095238094</v>
      </c>
      <c r="L252" s="12">
        <f t="shared" si="24"/>
        <v>219.55261904761903</v>
      </c>
      <c r="M252" s="12">
        <f t="shared" si="24"/>
        <v>815.12523809523805</v>
      </c>
      <c r="N252" s="12">
        <f t="shared" si="24"/>
        <v>13.732380952380952</v>
      </c>
      <c r="O252" s="12">
        <f t="shared" si="24"/>
        <v>158.99380952380952</v>
      </c>
      <c r="P252" s="12">
        <f t="shared" si="24"/>
        <v>0.59404761904761905</v>
      </c>
      <c r="Q252" s="12">
        <f t="shared" si="24"/>
        <v>1.7447619047619047</v>
      </c>
      <c r="R252" s="12">
        <f t="shared" si="24"/>
        <v>32.375238095238096</v>
      </c>
    </row>
    <row r="253" spans="1:18" x14ac:dyDescent="0.25">
      <c r="A253" s="21"/>
      <c r="B253" s="21"/>
      <c r="C253" s="21"/>
      <c r="D253" s="21"/>
      <c r="E253" s="22"/>
      <c r="F253" s="22"/>
      <c r="G253" s="22"/>
      <c r="H253" s="22"/>
      <c r="I253" s="22"/>
      <c r="K253" s="22"/>
      <c r="L253" s="8"/>
      <c r="M253" s="22"/>
      <c r="N253" s="22"/>
      <c r="O253" s="22"/>
      <c r="P253" s="8"/>
      <c r="Q253" s="8"/>
      <c r="R253" s="22"/>
    </row>
    <row r="254" spans="1:18" x14ac:dyDescent="0.25">
      <c r="A254" s="21"/>
      <c r="B254" s="21"/>
      <c r="C254" s="21"/>
      <c r="D254" s="21"/>
      <c r="E254" s="22"/>
      <c r="F254" s="22"/>
      <c r="G254" s="22"/>
      <c r="H254" s="22"/>
      <c r="I254" s="22"/>
      <c r="K254" s="22"/>
      <c r="L254" s="8"/>
      <c r="M254" s="22"/>
      <c r="N254" s="22"/>
      <c r="O254" s="22"/>
      <c r="P254" s="8"/>
      <c r="Q254" s="8"/>
      <c r="R254" s="22"/>
    </row>
    <row r="255" spans="1:18" x14ac:dyDescent="0.25">
      <c r="A255" s="21"/>
      <c r="B255" s="21"/>
      <c r="C255" s="21"/>
      <c r="D255" s="21"/>
      <c r="E255" s="22"/>
      <c r="F255" s="22"/>
      <c r="G255" s="22"/>
      <c r="H255" s="22"/>
      <c r="I255" s="22"/>
      <c r="K255" s="22"/>
      <c r="L255" s="8"/>
      <c r="M255" s="22"/>
      <c r="N255" s="22"/>
      <c r="O255" s="22"/>
      <c r="P255" s="8"/>
      <c r="Q255" s="8"/>
      <c r="R255" s="22"/>
    </row>
    <row r="256" spans="1:18" x14ac:dyDescent="0.25">
      <c r="A256" s="121" t="s">
        <v>37</v>
      </c>
      <c r="B256" s="121"/>
      <c r="C256" s="121"/>
      <c r="D256" s="21"/>
      <c r="E256" s="22"/>
      <c r="F256" s="22"/>
      <c r="G256" s="22"/>
      <c r="H256" s="22"/>
      <c r="I256" s="22"/>
      <c r="K256" s="22"/>
      <c r="L256" s="8"/>
      <c r="M256" s="138" t="s">
        <v>103</v>
      </c>
      <c r="N256" s="138"/>
      <c r="O256" s="138"/>
      <c r="P256" s="138"/>
      <c r="Q256" s="138"/>
      <c r="R256" s="138"/>
    </row>
    <row r="257" spans="1:18" x14ac:dyDescent="0.25">
      <c r="A257" s="122" t="s">
        <v>48</v>
      </c>
      <c r="B257" s="122"/>
      <c r="C257" s="122"/>
      <c r="D257" s="21"/>
      <c r="E257" s="22"/>
      <c r="F257" s="22"/>
      <c r="G257" s="22"/>
      <c r="H257" s="22"/>
      <c r="I257" s="22"/>
      <c r="K257" s="22"/>
      <c r="L257" s="8"/>
      <c r="M257" s="139" t="s">
        <v>111</v>
      </c>
      <c r="N257" s="139"/>
      <c r="O257" s="139"/>
      <c r="P257" s="139"/>
      <c r="Q257" s="139"/>
      <c r="R257" s="139"/>
    </row>
    <row r="258" spans="1:18" x14ac:dyDescent="0.25">
      <c r="A258" s="123" t="s">
        <v>100</v>
      </c>
      <c r="B258" s="123"/>
      <c r="C258" s="123"/>
      <c r="D258" s="21"/>
      <c r="E258" s="22"/>
      <c r="F258" s="22"/>
      <c r="G258" s="22"/>
      <c r="H258" s="22"/>
      <c r="I258" s="22"/>
      <c r="K258" s="22"/>
      <c r="L258" s="8"/>
      <c r="M258" s="139" t="s">
        <v>106</v>
      </c>
      <c r="N258" s="139"/>
      <c r="O258" s="139"/>
      <c r="P258" s="139"/>
      <c r="Q258" s="139"/>
      <c r="R258" s="139"/>
    </row>
    <row r="259" spans="1:18" x14ac:dyDescent="0.25">
      <c r="A259" s="124" t="s">
        <v>128</v>
      </c>
      <c r="B259" s="124"/>
      <c r="C259" s="124"/>
      <c r="D259" s="21"/>
      <c r="E259" s="22"/>
      <c r="F259" s="22"/>
      <c r="G259" s="22"/>
      <c r="H259" s="22"/>
      <c r="I259" s="22"/>
      <c r="K259" s="22"/>
      <c r="L259" s="8"/>
      <c r="M259" s="140" t="s">
        <v>130</v>
      </c>
      <c r="N259" s="140"/>
      <c r="O259" s="140"/>
      <c r="P259" s="140"/>
      <c r="Q259" s="140"/>
      <c r="R259" s="140"/>
    </row>
    <row r="260" spans="1:18" ht="18.75" x14ac:dyDescent="0.25">
      <c r="A260" s="115" t="s">
        <v>5</v>
      </c>
      <c r="B260" s="115"/>
      <c r="C260" s="115"/>
      <c r="D260" s="115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</row>
    <row r="261" spans="1:18" ht="15.75" x14ac:dyDescent="0.25">
      <c r="A261" s="116" t="s">
        <v>6</v>
      </c>
      <c r="B261" s="116"/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</row>
    <row r="262" spans="1:18" ht="15.75" x14ac:dyDescent="0.25">
      <c r="A262" s="117" t="s">
        <v>92</v>
      </c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  <c r="Q262" s="117"/>
      <c r="R262" s="117"/>
    </row>
    <row r="263" spans="1:18" ht="18" customHeight="1" x14ac:dyDescent="0.25">
      <c r="A263" s="98" t="s">
        <v>45</v>
      </c>
      <c r="B263" s="99"/>
      <c r="C263" s="99"/>
      <c r="D263" s="99"/>
      <c r="E263" s="99"/>
      <c r="F263" s="99"/>
      <c r="G263" s="99"/>
      <c r="H263" s="99"/>
      <c r="I263" s="99"/>
      <c r="J263" s="99"/>
      <c r="K263" s="99"/>
      <c r="L263" s="99"/>
      <c r="M263" s="99"/>
      <c r="N263" s="99"/>
      <c r="O263" s="99"/>
      <c r="P263" s="99"/>
      <c r="Q263" s="99"/>
      <c r="R263" s="100"/>
    </row>
    <row r="264" spans="1:18" ht="18.75" customHeight="1" x14ac:dyDescent="0.25">
      <c r="A264" s="94" t="s">
        <v>4</v>
      </c>
      <c r="B264" s="94"/>
      <c r="C264" s="94"/>
      <c r="D264" s="94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4"/>
      <c r="R264" s="94"/>
    </row>
    <row r="265" spans="1:18" ht="18" customHeight="1" x14ac:dyDescent="0.25">
      <c r="A265" s="93" t="s">
        <v>26</v>
      </c>
      <c r="B265" s="92" t="s">
        <v>0</v>
      </c>
      <c r="C265" s="93" t="s">
        <v>35</v>
      </c>
      <c r="D265" s="92" t="s">
        <v>1</v>
      </c>
      <c r="E265" s="92" t="s">
        <v>2</v>
      </c>
      <c r="F265" s="95" t="s">
        <v>55</v>
      </c>
      <c r="G265" s="95" t="s">
        <v>56</v>
      </c>
      <c r="H265" s="95" t="s">
        <v>57</v>
      </c>
      <c r="I265" s="92" t="s">
        <v>3</v>
      </c>
      <c r="J265" s="14"/>
      <c r="K265" s="7" t="s">
        <v>58</v>
      </c>
      <c r="L265" s="7"/>
      <c r="M265" s="7"/>
      <c r="N265" s="7"/>
      <c r="O265" s="92" t="s">
        <v>59</v>
      </c>
      <c r="P265" s="92"/>
      <c r="Q265" s="92"/>
      <c r="R265" s="92"/>
    </row>
    <row r="266" spans="1:18" ht="18" customHeight="1" x14ac:dyDescent="0.25">
      <c r="A266" s="93"/>
      <c r="B266" s="92"/>
      <c r="C266" s="93"/>
      <c r="D266" s="92"/>
      <c r="E266" s="92"/>
      <c r="F266" s="137"/>
      <c r="G266" s="137"/>
      <c r="H266" s="137"/>
      <c r="I266" s="92"/>
      <c r="J266" s="14"/>
      <c r="K266" s="7"/>
      <c r="L266" s="7"/>
      <c r="M266" s="7"/>
      <c r="N266" s="7"/>
      <c r="O266" s="79"/>
      <c r="P266" s="79"/>
      <c r="Q266" s="79"/>
      <c r="R266" s="79"/>
    </row>
    <row r="267" spans="1:18" ht="15" customHeight="1" x14ac:dyDescent="0.25">
      <c r="A267" s="93"/>
      <c r="B267" s="92"/>
      <c r="C267" s="93"/>
      <c r="D267" s="92"/>
      <c r="E267" s="92"/>
      <c r="F267" s="96"/>
      <c r="G267" s="96"/>
      <c r="H267" s="96"/>
      <c r="I267" s="92"/>
      <c r="J267" s="14"/>
      <c r="K267" s="28" t="s">
        <v>27</v>
      </c>
      <c r="L267" s="23" t="s">
        <v>28</v>
      </c>
      <c r="M267" s="23" t="s">
        <v>29</v>
      </c>
      <c r="N267" s="23" t="s">
        <v>30</v>
      </c>
      <c r="O267" s="23" t="s">
        <v>31</v>
      </c>
      <c r="P267" s="23" t="s">
        <v>63</v>
      </c>
      <c r="Q267" s="23" t="s">
        <v>33</v>
      </c>
      <c r="R267" s="23" t="s">
        <v>34</v>
      </c>
    </row>
    <row r="268" spans="1:18" ht="29.25" customHeight="1" x14ac:dyDescent="0.25">
      <c r="A268" s="26">
        <v>173</v>
      </c>
      <c r="B268" s="1" t="s">
        <v>7</v>
      </c>
      <c r="C268" s="90" t="s">
        <v>88</v>
      </c>
      <c r="D268" s="1" t="s">
        <v>72</v>
      </c>
      <c r="E268" s="33">
        <v>34.71</v>
      </c>
      <c r="F268" s="33">
        <f>6.03*250/210</f>
        <v>7.1785714285714288</v>
      </c>
      <c r="G268" s="33">
        <v>17.7</v>
      </c>
      <c r="H268" s="33">
        <f>33.31*250/210</f>
        <v>39.654761904761905</v>
      </c>
      <c r="I268" s="33">
        <f>261*250/210</f>
        <v>310.71428571428572</v>
      </c>
      <c r="J268" s="61"/>
      <c r="K268" s="33">
        <f>126.93*250/210</f>
        <v>151.10714285714286</v>
      </c>
      <c r="L268" s="33">
        <f>47.62*250/210</f>
        <v>56.69047619047619</v>
      </c>
      <c r="M268" s="33">
        <f>172.94*250/210</f>
        <v>205.88095238095238</v>
      </c>
      <c r="N268" s="33">
        <f>1.08*250/210</f>
        <v>1.2857142857142858</v>
      </c>
      <c r="O268" s="33">
        <f>0.04*250/210</f>
        <v>4.7619047619047616E-2</v>
      </c>
      <c r="P268" s="33">
        <v>0.13</v>
      </c>
      <c r="Q268" s="33">
        <v>0</v>
      </c>
      <c r="R268" s="2">
        <f>0.55*250/210</f>
        <v>0.65476190476190477</v>
      </c>
    </row>
    <row r="269" spans="1:18" ht="18" customHeight="1" x14ac:dyDescent="0.25">
      <c r="A269" s="1"/>
      <c r="B269" s="1" t="s">
        <v>8</v>
      </c>
      <c r="C269" s="5" t="s">
        <v>62</v>
      </c>
      <c r="D269" s="1">
        <v>40</v>
      </c>
      <c r="E269" s="2">
        <v>3.33</v>
      </c>
      <c r="F269" s="1">
        <v>3.16</v>
      </c>
      <c r="G269" s="2">
        <v>0.4</v>
      </c>
      <c r="H269" s="2">
        <v>19.32</v>
      </c>
      <c r="I269" s="2">
        <v>93.52</v>
      </c>
      <c r="J269" s="49"/>
      <c r="K269" s="2">
        <v>9.1999999999999993</v>
      </c>
      <c r="L269" s="2">
        <v>13.2</v>
      </c>
      <c r="M269" s="2">
        <v>34.799999999999997</v>
      </c>
      <c r="N269" s="2">
        <v>0.44</v>
      </c>
      <c r="O269" s="66">
        <v>0</v>
      </c>
      <c r="P269" s="66">
        <v>0</v>
      </c>
      <c r="Q269" s="66">
        <v>0</v>
      </c>
      <c r="R269" s="66">
        <v>0</v>
      </c>
    </row>
    <row r="270" spans="1:18" ht="17.25" customHeight="1" x14ac:dyDescent="0.25">
      <c r="A270" s="1">
        <v>376</v>
      </c>
      <c r="B270" s="1" t="s">
        <v>9</v>
      </c>
      <c r="C270" s="29" t="s">
        <v>16</v>
      </c>
      <c r="D270" s="1">
        <v>200</v>
      </c>
      <c r="E270" s="2">
        <v>1.9</v>
      </c>
      <c r="F270" s="2">
        <v>0.1</v>
      </c>
      <c r="G270" s="66">
        <v>0</v>
      </c>
      <c r="H270" s="2">
        <v>15</v>
      </c>
      <c r="I270" s="2">
        <v>60</v>
      </c>
      <c r="J270" s="41"/>
      <c r="K270" s="2">
        <v>5</v>
      </c>
      <c r="L270" s="66">
        <v>0</v>
      </c>
      <c r="M270" s="66">
        <v>0</v>
      </c>
      <c r="N270" s="2">
        <v>2</v>
      </c>
      <c r="O270" s="66">
        <v>0</v>
      </c>
      <c r="P270" s="66">
        <v>0</v>
      </c>
      <c r="Q270" s="66">
        <v>0</v>
      </c>
      <c r="R270" s="66">
        <v>0</v>
      </c>
    </row>
    <row r="271" spans="1:18" ht="18" customHeight="1" x14ac:dyDescent="0.25">
      <c r="A271" s="55"/>
      <c r="B271" s="30" t="s">
        <v>13</v>
      </c>
      <c r="C271" s="77" t="s">
        <v>126</v>
      </c>
      <c r="D271" s="30">
        <v>120</v>
      </c>
      <c r="E271" s="33">
        <v>36</v>
      </c>
      <c r="F271" s="33">
        <v>6.96</v>
      </c>
      <c r="G271" s="30">
        <v>0</v>
      </c>
      <c r="H271" s="33">
        <v>16</v>
      </c>
      <c r="I271" s="33">
        <v>85.24</v>
      </c>
      <c r="J271" s="78"/>
      <c r="K271" s="33">
        <v>44.4</v>
      </c>
      <c r="L271" s="33">
        <v>14.4</v>
      </c>
      <c r="M271" s="67">
        <v>0</v>
      </c>
      <c r="N271" s="33">
        <v>0.96</v>
      </c>
      <c r="O271" s="67">
        <v>0</v>
      </c>
      <c r="P271" s="33">
        <v>0.24</v>
      </c>
      <c r="Q271" s="67">
        <v>0</v>
      </c>
      <c r="R271" s="33">
        <v>0.5</v>
      </c>
    </row>
    <row r="272" spans="1:18" ht="18" customHeight="1" x14ac:dyDescent="0.25">
      <c r="A272" s="97" t="s">
        <v>11</v>
      </c>
      <c r="B272" s="97"/>
      <c r="C272" s="97"/>
      <c r="D272" s="72">
        <v>620</v>
      </c>
      <c r="E272" s="12">
        <f>SUM(E268:E271)</f>
        <v>75.94</v>
      </c>
      <c r="F272" s="12">
        <f>SUM(F268:F271)</f>
        <v>17.398571428571429</v>
      </c>
      <c r="G272" s="12">
        <f>SUM(G268:G271)</f>
        <v>18.099999999999998</v>
      </c>
      <c r="H272" s="12">
        <f>SUM(H268:H271)</f>
        <v>89.974761904761905</v>
      </c>
      <c r="I272" s="12">
        <f>SUM(I268:I271)</f>
        <v>549.47428571428566</v>
      </c>
      <c r="J272" s="41"/>
      <c r="K272" s="12">
        <f t="shared" ref="K272:R272" si="25">SUM(K268:K271)</f>
        <v>209.70714285714286</v>
      </c>
      <c r="L272" s="12">
        <f t="shared" si="25"/>
        <v>84.290476190476198</v>
      </c>
      <c r="M272" s="12">
        <f t="shared" si="25"/>
        <v>240.68095238095236</v>
      </c>
      <c r="N272" s="12">
        <f t="shared" si="25"/>
        <v>4.6857142857142859</v>
      </c>
      <c r="O272" s="12">
        <f t="shared" si="25"/>
        <v>4.7619047619047616E-2</v>
      </c>
      <c r="P272" s="12">
        <f t="shared" si="25"/>
        <v>0.37</v>
      </c>
      <c r="Q272" s="12">
        <f t="shared" si="25"/>
        <v>0</v>
      </c>
      <c r="R272" s="12">
        <f t="shared" si="25"/>
        <v>1.1547619047619047</v>
      </c>
    </row>
    <row r="273" spans="1:18" ht="18" customHeight="1" x14ac:dyDescent="0.25">
      <c r="A273" s="94" t="s">
        <v>12</v>
      </c>
      <c r="B273" s="94"/>
      <c r="C273" s="94"/>
      <c r="D273" s="94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94"/>
      <c r="R273" s="94"/>
    </row>
    <row r="274" spans="1:18" ht="18" customHeight="1" x14ac:dyDescent="0.25">
      <c r="A274" s="93" t="s">
        <v>26</v>
      </c>
      <c r="B274" s="92" t="s">
        <v>0</v>
      </c>
      <c r="C274" s="93" t="s">
        <v>35</v>
      </c>
      <c r="D274" s="92" t="s">
        <v>1</v>
      </c>
      <c r="E274" s="92" t="s">
        <v>2</v>
      </c>
      <c r="F274" s="95" t="s">
        <v>55</v>
      </c>
      <c r="G274" s="95" t="s">
        <v>56</v>
      </c>
      <c r="H274" s="95" t="s">
        <v>57</v>
      </c>
      <c r="I274" s="92" t="s">
        <v>3</v>
      </c>
      <c r="J274" s="14"/>
      <c r="K274" s="7" t="s">
        <v>58</v>
      </c>
      <c r="L274" s="7"/>
      <c r="M274" s="7"/>
      <c r="N274" s="7"/>
      <c r="O274" s="92" t="s">
        <v>59</v>
      </c>
      <c r="P274" s="92"/>
      <c r="Q274" s="92"/>
      <c r="R274" s="92"/>
    </row>
    <row r="275" spans="1:18" ht="15" customHeight="1" x14ac:dyDescent="0.25">
      <c r="A275" s="93"/>
      <c r="B275" s="92"/>
      <c r="C275" s="93"/>
      <c r="D275" s="92"/>
      <c r="E275" s="92"/>
      <c r="F275" s="96"/>
      <c r="G275" s="96"/>
      <c r="H275" s="96"/>
      <c r="I275" s="92"/>
      <c r="J275" s="14"/>
      <c r="K275" s="28" t="s">
        <v>27</v>
      </c>
      <c r="L275" s="23" t="s">
        <v>28</v>
      </c>
      <c r="M275" s="23" t="s">
        <v>29</v>
      </c>
      <c r="N275" s="23" t="s">
        <v>30</v>
      </c>
      <c r="O275" s="23" t="s">
        <v>31</v>
      </c>
      <c r="P275" s="23" t="s">
        <v>63</v>
      </c>
      <c r="Q275" s="23" t="s">
        <v>33</v>
      </c>
      <c r="R275" s="23" t="s">
        <v>34</v>
      </c>
    </row>
    <row r="276" spans="1:18" ht="18" customHeight="1" x14ac:dyDescent="0.25">
      <c r="A276" s="26">
        <v>52</v>
      </c>
      <c r="B276" s="1" t="s">
        <v>7</v>
      </c>
      <c r="C276" s="5" t="s">
        <v>71</v>
      </c>
      <c r="D276" s="1">
        <v>100</v>
      </c>
      <c r="E276" s="2">
        <v>9.83</v>
      </c>
      <c r="F276" s="60">
        <v>1.7</v>
      </c>
      <c r="G276" s="60">
        <v>6</v>
      </c>
      <c r="H276" s="60">
        <v>11</v>
      </c>
      <c r="I276" s="2">
        <v>104</v>
      </c>
      <c r="J276" s="2"/>
      <c r="K276" s="2">
        <v>35.200000000000003</v>
      </c>
      <c r="L276" s="2">
        <v>20.8</v>
      </c>
      <c r="M276" s="2">
        <v>41</v>
      </c>
      <c r="N276" s="2">
        <v>1.3</v>
      </c>
      <c r="O276" s="2">
        <v>0</v>
      </c>
      <c r="P276" s="2">
        <v>0</v>
      </c>
      <c r="Q276" s="2">
        <v>0.2</v>
      </c>
      <c r="R276" s="2">
        <v>9.5</v>
      </c>
    </row>
    <row r="277" spans="1:18" ht="17.25" customHeight="1" x14ac:dyDescent="0.25">
      <c r="A277" s="1">
        <v>88</v>
      </c>
      <c r="B277" s="1" t="s">
        <v>8</v>
      </c>
      <c r="C277" s="52" t="s">
        <v>19</v>
      </c>
      <c r="D277" s="30">
        <v>250</v>
      </c>
      <c r="E277" s="1">
        <v>12.82</v>
      </c>
      <c r="F277" s="2">
        <v>1.6</v>
      </c>
      <c r="G277" s="2">
        <v>4.9000000000000004</v>
      </c>
      <c r="H277" s="2">
        <v>11.5</v>
      </c>
      <c r="I277" s="2">
        <v>246</v>
      </c>
      <c r="J277" s="63"/>
      <c r="K277" s="2">
        <v>75.2</v>
      </c>
      <c r="L277" s="2">
        <v>14.7</v>
      </c>
      <c r="M277" s="2">
        <v>34.200000000000003</v>
      </c>
      <c r="N277" s="2">
        <v>1.0249999999999999</v>
      </c>
      <c r="O277" s="2">
        <v>1</v>
      </c>
      <c r="P277" s="2">
        <v>5.5</v>
      </c>
      <c r="Q277" s="2">
        <v>0.6</v>
      </c>
      <c r="R277" s="2">
        <v>9.5</v>
      </c>
    </row>
    <row r="278" spans="1:18" ht="18" customHeight="1" x14ac:dyDescent="0.25">
      <c r="A278" s="1">
        <v>282</v>
      </c>
      <c r="B278" s="1" t="s">
        <v>9</v>
      </c>
      <c r="C278" s="5" t="s">
        <v>52</v>
      </c>
      <c r="D278" s="30" t="s">
        <v>87</v>
      </c>
      <c r="E278" s="2">
        <v>74.2</v>
      </c>
      <c r="F278" s="2">
        <v>16.8</v>
      </c>
      <c r="G278" s="2">
        <v>23.1</v>
      </c>
      <c r="H278" s="2">
        <v>6.1</v>
      </c>
      <c r="I278" s="2">
        <v>299.7</v>
      </c>
      <c r="J278" s="41"/>
      <c r="K278" s="2">
        <v>19.5</v>
      </c>
      <c r="L278" s="2">
        <v>22</v>
      </c>
      <c r="M278" s="2">
        <v>346.9</v>
      </c>
      <c r="N278" s="2">
        <v>7.4</v>
      </c>
      <c r="O278" s="2">
        <v>9.6999999999999993</v>
      </c>
      <c r="P278" s="2">
        <v>2.7</v>
      </c>
      <c r="Q278" s="2">
        <v>9.5</v>
      </c>
      <c r="R278" s="2">
        <v>34.6</v>
      </c>
    </row>
    <row r="279" spans="1:18" ht="33.75" customHeight="1" x14ac:dyDescent="0.25">
      <c r="A279" s="1" t="s">
        <v>122</v>
      </c>
      <c r="B279" s="30" t="s">
        <v>13</v>
      </c>
      <c r="C279" s="90" t="s">
        <v>123</v>
      </c>
      <c r="D279" s="30" t="s">
        <v>124</v>
      </c>
      <c r="E279" s="2">
        <v>13.04</v>
      </c>
      <c r="F279" s="2">
        <v>7.16</v>
      </c>
      <c r="G279" s="2">
        <v>8.25</v>
      </c>
      <c r="H279" s="2">
        <v>40.25</v>
      </c>
      <c r="I279" s="2">
        <v>226.28</v>
      </c>
      <c r="J279" s="49"/>
      <c r="K279" s="2">
        <v>13.03</v>
      </c>
      <c r="L279" s="2">
        <v>24.55</v>
      </c>
      <c r="M279" s="2">
        <v>50.27</v>
      </c>
      <c r="N279" s="2">
        <v>1.34</v>
      </c>
      <c r="O279" s="2">
        <v>0.03</v>
      </c>
      <c r="P279" s="2">
        <v>0.15</v>
      </c>
      <c r="Q279" s="2">
        <v>0.95</v>
      </c>
      <c r="R279" s="2">
        <v>0.06</v>
      </c>
    </row>
    <row r="280" spans="1:18" ht="18" customHeight="1" x14ac:dyDescent="0.25">
      <c r="A280" s="1"/>
      <c r="B280" s="1" t="s">
        <v>14</v>
      </c>
      <c r="C280" s="52" t="s">
        <v>54</v>
      </c>
      <c r="D280" s="1">
        <v>200</v>
      </c>
      <c r="E280" s="2">
        <v>14</v>
      </c>
      <c r="F280" s="2">
        <v>0.2</v>
      </c>
      <c r="G280" s="2">
        <v>0</v>
      </c>
      <c r="H280" s="2">
        <v>3.9</v>
      </c>
      <c r="I280" s="2">
        <v>69</v>
      </c>
      <c r="J280" s="70"/>
      <c r="K280" s="2">
        <v>0.24</v>
      </c>
      <c r="L280" s="2">
        <v>0.2</v>
      </c>
      <c r="M280" s="2">
        <v>0.5</v>
      </c>
      <c r="N280" s="2">
        <v>7</v>
      </c>
      <c r="O280" s="66">
        <v>0</v>
      </c>
      <c r="P280" s="2">
        <v>0.1</v>
      </c>
      <c r="Q280" s="66">
        <v>0</v>
      </c>
      <c r="R280" s="2">
        <v>6</v>
      </c>
    </row>
    <row r="281" spans="1:18" ht="18" customHeight="1" x14ac:dyDescent="0.25">
      <c r="A281" s="1"/>
      <c r="B281" s="1" t="s">
        <v>15</v>
      </c>
      <c r="C281" s="52" t="s">
        <v>76</v>
      </c>
      <c r="D281" s="30">
        <v>40</v>
      </c>
      <c r="E281" s="2">
        <v>3.33</v>
      </c>
      <c r="F281" s="2">
        <f>1.68*40/30</f>
        <v>2.2400000000000002</v>
      </c>
      <c r="G281" s="2">
        <f>0.33*40/30</f>
        <v>0.44000000000000006</v>
      </c>
      <c r="H281" s="2">
        <f>14.82*40/30</f>
        <v>19.759999999999998</v>
      </c>
      <c r="I281" s="2">
        <f>68.97*40/30</f>
        <v>91.960000000000008</v>
      </c>
      <c r="J281" s="41"/>
      <c r="K281" s="2">
        <f>6.9*40/30</f>
        <v>9.1999999999999993</v>
      </c>
      <c r="L281" s="2">
        <f>7.5*40/30</f>
        <v>10</v>
      </c>
      <c r="M281" s="2">
        <f>31.8*40/30</f>
        <v>42.4</v>
      </c>
      <c r="N281" s="2">
        <f>0.93*40/30</f>
        <v>1.24</v>
      </c>
      <c r="O281" s="66">
        <v>0</v>
      </c>
      <c r="P281" s="66">
        <v>0</v>
      </c>
      <c r="Q281" s="66">
        <v>0</v>
      </c>
      <c r="R281" s="66">
        <v>0</v>
      </c>
    </row>
    <row r="282" spans="1:18" ht="18" customHeight="1" x14ac:dyDescent="0.25">
      <c r="A282" s="1"/>
      <c r="B282" s="1" t="s">
        <v>64</v>
      </c>
      <c r="C282" s="5" t="s">
        <v>62</v>
      </c>
      <c r="D282" s="30">
        <v>70</v>
      </c>
      <c r="E282" s="33">
        <v>5.83</v>
      </c>
      <c r="F282" s="33">
        <f>2.37*70/30</f>
        <v>5.53</v>
      </c>
      <c r="G282" s="33">
        <f>0.3*70/30</f>
        <v>0.7</v>
      </c>
      <c r="H282" s="33">
        <f>14.49*70/30</f>
        <v>33.81</v>
      </c>
      <c r="I282" s="33">
        <f>70.14*70/30</f>
        <v>163.66</v>
      </c>
      <c r="J282" s="61"/>
      <c r="K282" s="33">
        <f>6.9*70/30</f>
        <v>16.100000000000001</v>
      </c>
      <c r="L282" s="33">
        <f>9.9*70/30</f>
        <v>23.1</v>
      </c>
      <c r="M282" s="33">
        <f>26.1*70/30</f>
        <v>60.9</v>
      </c>
      <c r="N282" s="33">
        <f>0.33*70/30</f>
        <v>0.77</v>
      </c>
      <c r="O282" s="67">
        <v>0</v>
      </c>
      <c r="P282" s="67">
        <v>0</v>
      </c>
      <c r="Q282" s="67">
        <v>0</v>
      </c>
      <c r="R282" s="67">
        <v>0</v>
      </c>
    </row>
    <row r="283" spans="1:18" ht="18" customHeight="1" x14ac:dyDescent="0.25">
      <c r="A283" s="1">
        <v>386</v>
      </c>
      <c r="B283" s="1" t="s">
        <v>73</v>
      </c>
      <c r="C283" s="25" t="s">
        <v>75</v>
      </c>
      <c r="D283" s="1">
        <v>100</v>
      </c>
      <c r="E283" s="2">
        <v>15.45</v>
      </c>
      <c r="F283" s="2">
        <v>2.7</v>
      </c>
      <c r="G283" s="2">
        <v>2.5</v>
      </c>
      <c r="H283" s="2">
        <v>10.8</v>
      </c>
      <c r="I283" s="2">
        <v>79</v>
      </c>
      <c r="J283" s="41"/>
      <c r="K283" s="2">
        <v>121</v>
      </c>
      <c r="L283" s="2">
        <v>15</v>
      </c>
      <c r="M283" s="2">
        <v>94</v>
      </c>
      <c r="N283" s="2">
        <v>0.1</v>
      </c>
      <c r="O283" s="2">
        <v>20</v>
      </c>
      <c r="P283" s="2">
        <v>4.4999999999999998E-2</v>
      </c>
      <c r="Q283" s="2">
        <v>0.1</v>
      </c>
      <c r="R283" s="2">
        <v>1.35</v>
      </c>
    </row>
    <row r="284" spans="1:18" ht="18" customHeight="1" x14ac:dyDescent="0.25">
      <c r="A284" s="97" t="s">
        <v>11</v>
      </c>
      <c r="B284" s="97"/>
      <c r="C284" s="97"/>
      <c r="D284" s="54">
        <v>1075</v>
      </c>
      <c r="E284" s="12">
        <f t="shared" ref="E284:R284" si="26">SUM(E276:E283)</f>
        <v>148.49999999999997</v>
      </c>
      <c r="F284" s="12">
        <f t="shared" si="26"/>
        <v>37.930000000000007</v>
      </c>
      <c r="G284" s="12">
        <f t="shared" si="26"/>
        <v>45.89</v>
      </c>
      <c r="H284" s="12">
        <f t="shared" si="26"/>
        <v>137.12</v>
      </c>
      <c r="I284" s="12">
        <f t="shared" si="26"/>
        <v>1279.6000000000001</v>
      </c>
      <c r="J284" s="12">
        <f t="shared" si="26"/>
        <v>0</v>
      </c>
      <c r="K284" s="12">
        <f t="shared" si="26"/>
        <v>289.47000000000003</v>
      </c>
      <c r="L284" s="12">
        <f t="shared" si="26"/>
        <v>130.35</v>
      </c>
      <c r="M284" s="12">
        <f t="shared" si="26"/>
        <v>670.17</v>
      </c>
      <c r="N284" s="12">
        <f t="shared" si="26"/>
        <v>20.175000000000001</v>
      </c>
      <c r="O284" s="12">
        <f t="shared" si="26"/>
        <v>30.729999999999997</v>
      </c>
      <c r="P284" s="12">
        <f t="shared" si="26"/>
        <v>8.4949999999999992</v>
      </c>
      <c r="Q284" s="12">
        <f t="shared" si="26"/>
        <v>11.35</v>
      </c>
      <c r="R284" s="12">
        <f t="shared" si="26"/>
        <v>61.010000000000005</v>
      </c>
    </row>
    <row r="285" spans="1:18" ht="18" customHeight="1" x14ac:dyDescent="0.25">
      <c r="A285" s="104" t="s">
        <v>17</v>
      </c>
      <c r="B285" s="104"/>
      <c r="C285" s="104"/>
      <c r="D285" s="104"/>
      <c r="E285" s="12">
        <f t="shared" ref="E285:R285" si="27">E272+E284</f>
        <v>224.43999999999997</v>
      </c>
      <c r="F285" s="12">
        <f t="shared" si="27"/>
        <v>55.328571428571436</v>
      </c>
      <c r="G285" s="12">
        <f t="shared" si="27"/>
        <v>63.989999999999995</v>
      </c>
      <c r="H285" s="12">
        <f t="shared" si="27"/>
        <v>227.09476190476192</v>
      </c>
      <c r="I285" s="12">
        <f t="shared" si="27"/>
        <v>1829.0742857142859</v>
      </c>
      <c r="J285" s="12">
        <f t="shared" si="27"/>
        <v>0</v>
      </c>
      <c r="K285" s="12">
        <f t="shared" si="27"/>
        <v>499.17714285714288</v>
      </c>
      <c r="L285" s="12">
        <f t="shared" si="27"/>
        <v>214.64047619047619</v>
      </c>
      <c r="M285" s="12">
        <f t="shared" si="27"/>
        <v>910.85095238095232</v>
      </c>
      <c r="N285" s="12">
        <f t="shared" si="27"/>
        <v>24.860714285714288</v>
      </c>
      <c r="O285" s="12">
        <f t="shared" si="27"/>
        <v>30.777619047619044</v>
      </c>
      <c r="P285" s="12">
        <f t="shared" si="27"/>
        <v>8.8649999999999984</v>
      </c>
      <c r="Q285" s="12">
        <f t="shared" si="27"/>
        <v>11.35</v>
      </c>
      <c r="R285" s="12">
        <f t="shared" si="27"/>
        <v>62.16476190476191</v>
      </c>
    </row>
    <row r="286" spans="1:18" x14ac:dyDescent="0.25">
      <c r="A286" s="15"/>
      <c r="B286" s="15"/>
      <c r="C286" s="15"/>
      <c r="D286" s="15"/>
      <c r="E286" s="17"/>
      <c r="F286" s="17"/>
      <c r="G286" s="17"/>
      <c r="H286" s="17"/>
      <c r="I286" s="17"/>
      <c r="J286" s="19"/>
      <c r="K286" s="17"/>
      <c r="L286" s="17"/>
      <c r="M286" s="17"/>
      <c r="N286" s="17"/>
      <c r="O286" s="17"/>
      <c r="P286" s="17"/>
      <c r="Q286" s="17"/>
      <c r="R286" s="17"/>
    </row>
    <row r="287" spans="1:18" x14ac:dyDescent="0.25">
      <c r="A287" s="15"/>
      <c r="B287" s="15"/>
      <c r="C287" s="15"/>
      <c r="D287" s="15"/>
      <c r="E287" s="17"/>
      <c r="F287" s="17"/>
      <c r="G287" s="17"/>
      <c r="H287" s="17"/>
      <c r="I287" s="17"/>
      <c r="J287" s="19"/>
      <c r="K287" s="17"/>
      <c r="L287" s="17"/>
      <c r="M287" s="17"/>
      <c r="N287" s="17"/>
      <c r="O287" s="17"/>
      <c r="P287" s="17"/>
      <c r="Q287" s="17"/>
      <c r="R287" s="17"/>
    </row>
    <row r="288" spans="1:18" x14ac:dyDescent="0.25">
      <c r="A288" s="15"/>
      <c r="B288" s="15"/>
      <c r="C288" s="15"/>
      <c r="D288" s="15"/>
      <c r="E288" s="17"/>
      <c r="F288" s="17"/>
      <c r="G288" s="17"/>
      <c r="H288" s="17"/>
      <c r="I288" s="17"/>
      <c r="J288" s="19"/>
      <c r="K288" s="17"/>
      <c r="L288" s="17"/>
      <c r="M288" s="17"/>
      <c r="N288" s="17"/>
      <c r="O288" s="17"/>
      <c r="P288" s="17"/>
      <c r="Q288" s="17"/>
      <c r="R288" s="17"/>
    </row>
    <row r="289" spans="1:18" x14ac:dyDescent="0.25">
      <c r="A289" s="121" t="s">
        <v>37</v>
      </c>
      <c r="B289" s="121"/>
      <c r="C289" s="121"/>
      <c r="D289" s="15"/>
      <c r="E289" s="17"/>
      <c r="F289" s="17"/>
      <c r="G289" s="17"/>
      <c r="H289" s="17"/>
      <c r="I289" s="17"/>
      <c r="J289" s="19"/>
      <c r="K289" s="17"/>
      <c r="L289" s="17"/>
      <c r="M289" s="138" t="s">
        <v>103</v>
      </c>
      <c r="N289" s="138"/>
      <c r="O289" s="138"/>
      <c r="P289" s="138"/>
      <c r="Q289" s="138"/>
      <c r="R289" s="138"/>
    </row>
    <row r="290" spans="1:18" x14ac:dyDescent="0.25">
      <c r="A290" s="122" t="s">
        <v>48</v>
      </c>
      <c r="B290" s="122"/>
      <c r="C290" s="122"/>
      <c r="D290" s="15"/>
      <c r="E290" s="17"/>
      <c r="F290" s="17"/>
      <c r="G290" s="17"/>
      <c r="H290" s="17"/>
      <c r="I290" s="17"/>
      <c r="J290" s="19"/>
      <c r="K290" s="17"/>
      <c r="L290" s="17"/>
      <c r="M290" s="139" t="s">
        <v>111</v>
      </c>
      <c r="N290" s="139"/>
      <c r="O290" s="139"/>
      <c r="P290" s="139"/>
      <c r="Q290" s="139"/>
      <c r="R290" s="139"/>
    </row>
    <row r="291" spans="1:18" x14ac:dyDescent="0.25">
      <c r="A291" s="123" t="s">
        <v>100</v>
      </c>
      <c r="B291" s="123"/>
      <c r="C291" s="123"/>
      <c r="D291" s="15"/>
      <c r="E291" s="17"/>
      <c r="F291" s="17"/>
      <c r="G291" s="17"/>
      <c r="H291" s="17"/>
      <c r="I291" s="17"/>
      <c r="J291" s="19"/>
      <c r="K291" s="17"/>
      <c r="L291" s="17"/>
      <c r="M291" s="139" t="s">
        <v>106</v>
      </c>
      <c r="N291" s="139"/>
      <c r="O291" s="139"/>
      <c r="P291" s="139"/>
      <c r="Q291" s="139"/>
      <c r="R291" s="139"/>
    </row>
    <row r="292" spans="1:18" x14ac:dyDescent="0.25">
      <c r="A292" s="124" t="s">
        <v>128</v>
      </c>
      <c r="B292" s="124"/>
      <c r="C292" s="124"/>
      <c r="D292" s="15"/>
      <c r="E292" s="17"/>
      <c r="F292" s="17"/>
      <c r="G292" s="17"/>
      <c r="H292" s="17"/>
      <c r="I292" s="17"/>
      <c r="J292" s="19"/>
      <c r="K292" s="17"/>
      <c r="L292" s="17"/>
      <c r="M292" s="140" t="s">
        <v>130</v>
      </c>
      <c r="N292" s="140"/>
      <c r="O292" s="140"/>
      <c r="P292" s="140"/>
      <c r="Q292" s="140"/>
      <c r="R292" s="140"/>
    </row>
    <row r="293" spans="1:18" ht="18.75" x14ac:dyDescent="0.25">
      <c r="A293" s="115" t="s">
        <v>5</v>
      </c>
      <c r="B293" s="115"/>
      <c r="C293" s="115"/>
      <c r="D293" s="115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</row>
    <row r="294" spans="1:18" ht="15.75" x14ac:dyDescent="0.25">
      <c r="A294" s="116" t="s">
        <v>6</v>
      </c>
      <c r="B294" s="116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</row>
    <row r="295" spans="1:18" ht="15.75" x14ac:dyDescent="0.25">
      <c r="A295" s="117" t="s">
        <v>92</v>
      </c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  <c r="Q295" s="117"/>
      <c r="R295" s="117"/>
    </row>
    <row r="296" spans="1:18" ht="18" customHeight="1" x14ac:dyDescent="0.25">
      <c r="A296" s="101" t="s">
        <v>46</v>
      </c>
      <c r="B296" s="102"/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  <c r="O296" s="102"/>
      <c r="P296" s="102"/>
      <c r="Q296" s="102"/>
      <c r="R296" s="103"/>
    </row>
    <row r="297" spans="1:18" ht="18.75" customHeight="1" x14ac:dyDescent="0.25">
      <c r="A297" s="94" t="s">
        <v>4</v>
      </c>
      <c r="B297" s="94"/>
      <c r="C297" s="94"/>
      <c r="D297" s="94"/>
      <c r="E297" s="94"/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94"/>
      <c r="R297" s="94"/>
    </row>
    <row r="298" spans="1:18" ht="18" customHeight="1" x14ac:dyDescent="0.25">
      <c r="A298" s="93" t="s">
        <v>26</v>
      </c>
      <c r="B298" s="92" t="s">
        <v>0</v>
      </c>
      <c r="C298" s="93" t="s">
        <v>35</v>
      </c>
      <c r="D298" s="92" t="s">
        <v>1</v>
      </c>
      <c r="E298" s="92" t="s">
        <v>2</v>
      </c>
      <c r="F298" s="95" t="s">
        <v>55</v>
      </c>
      <c r="G298" s="95" t="s">
        <v>56</v>
      </c>
      <c r="H298" s="95" t="s">
        <v>57</v>
      </c>
      <c r="I298" s="92" t="s">
        <v>3</v>
      </c>
      <c r="J298" s="14"/>
      <c r="K298" s="7" t="s">
        <v>58</v>
      </c>
      <c r="L298" s="7"/>
      <c r="M298" s="7"/>
      <c r="N298" s="7"/>
      <c r="O298" s="92" t="s">
        <v>59</v>
      </c>
      <c r="P298" s="92"/>
      <c r="Q298" s="92"/>
      <c r="R298" s="92"/>
    </row>
    <row r="299" spans="1:18" ht="15" customHeight="1" x14ac:dyDescent="0.25">
      <c r="A299" s="93"/>
      <c r="B299" s="92"/>
      <c r="C299" s="93"/>
      <c r="D299" s="92"/>
      <c r="E299" s="92"/>
      <c r="F299" s="96"/>
      <c r="G299" s="96"/>
      <c r="H299" s="96"/>
      <c r="I299" s="92"/>
      <c r="J299" s="14"/>
      <c r="K299" s="28" t="s">
        <v>27</v>
      </c>
      <c r="L299" s="23" t="s">
        <v>28</v>
      </c>
      <c r="M299" s="23" t="s">
        <v>29</v>
      </c>
      <c r="N299" s="23" t="s">
        <v>30</v>
      </c>
      <c r="O299" s="23" t="s">
        <v>31</v>
      </c>
      <c r="P299" s="23" t="s">
        <v>63</v>
      </c>
      <c r="Q299" s="23" t="s">
        <v>33</v>
      </c>
      <c r="R299" s="23" t="s">
        <v>34</v>
      </c>
    </row>
    <row r="300" spans="1:18" ht="27.75" customHeight="1" x14ac:dyDescent="0.25">
      <c r="A300" s="1">
        <v>181</v>
      </c>
      <c r="B300" s="1" t="s">
        <v>7</v>
      </c>
      <c r="C300" s="4" t="s">
        <v>86</v>
      </c>
      <c r="D300" s="30" t="s">
        <v>72</v>
      </c>
      <c r="E300" s="2">
        <v>33.85</v>
      </c>
      <c r="F300" s="2">
        <f>6.1*250/200</f>
        <v>7.625</v>
      </c>
      <c r="G300" s="2">
        <f>11.3*250/200</f>
        <v>14.125</v>
      </c>
      <c r="H300" s="2">
        <f>33.5*250/200</f>
        <v>41.875</v>
      </c>
      <c r="I300" s="2">
        <f>260*250/200</f>
        <v>325</v>
      </c>
      <c r="J300" s="41"/>
      <c r="K300" s="2">
        <f>192.2*250/200</f>
        <v>240.25</v>
      </c>
      <c r="L300" s="2">
        <f>23.5*250/200</f>
        <v>29.375</v>
      </c>
      <c r="M300" s="2">
        <f>156.1*250/200</f>
        <v>195.125</v>
      </c>
      <c r="N300" s="2">
        <f>0.3*250/200</f>
        <v>0.375</v>
      </c>
      <c r="O300" s="2">
        <f>36.7*250/200</f>
        <v>45.875</v>
      </c>
      <c r="P300" s="2">
        <f>0.1*250/200</f>
        <v>0.125</v>
      </c>
      <c r="Q300" s="2">
        <v>0</v>
      </c>
      <c r="R300" s="2">
        <f>1.1*250/200</f>
        <v>1.375</v>
      </c>
    </row>
    <row r="301" spans="1:18" ht="18" customHeight="1" x14ac:dyDescent="0.25">
      <c r="A301" s="1"/>
      <c r="B301" s="1" t="s">
        <v>8</v>
      </c>
      <c r="C301" s="5" t="s">
        <v>62</v>
      </c>
      <c r="D301" s="1">
        <v>50</v>
      </c>
      <c r="E301" s="2">
        <v>4.17</v>
      </c>
      <c r="F301" s="2">
        <v>3.95</v>
      </c>
      <c r="G301" s="2">
        <v>0.5</v>
      </c>
      <c r="H301" s="2">
        <v>24.15</v>
      </c>
      <c r="I301" s="2">
        <v>116.9</v>
      </c>
      <c r="J301" s="25"/>
      <c r="K301" s="2">
        <v>11.5</v>
      </c>
      <c r="L301" s="2">
        <v>16.5</v>
      </c>
      <c r="M301" s="2">
        <v>43.5</v>
      </c>
      <c r="N301" s="2">
        <v>0.55000000000000004</v>
      </c>
      <c r="O301" s="1">
        <v>0</v>
      </c>
      <c r="P301" s="66">
        <v>0</v>
      </c>
      <c r="Q301" s="66">
        <v>0</v>
      </c>
      <c r="R301" s="66">
        <v>0</v>
      </c>
    </row>
    <row r="302" spans="1:18" ht="18" customHeight="1" x14ac:dyDescent="0.25">
      <c r="A302" s="1">
        <v>14</v>
      </c>
      <c r="B302" s="1" t="s">
        <v>9</v>
      </c>
      <c r="C302" s="86" t="s">
        <v>114</v>
      </c>
      <c r="D302" s="30">
        <v>10</v>
      </c>
      <c r="E302" s="33">
        <v>14</v>
      </c>
      <c r="F302" s="30">
        <v>0.1</v>
      </c>
      <c r="G302" s="31">
        <v>8.1999999999999993</v>
      </c>
      <c r="H302" s="30">
        <v>0.1</v>
      </c>
      <c r="I302" s="31">
        <v>75</v>
      </c>
      <c r="J302" s="78"/>
      <c r="K302" s="31">
        <v>2.4</v>
      </c>
      <c r="L302" s="67">
        <v>0</v>
      </c>
      <c r="M302" s="31">
        <v>3</v>
      </c>
      <c r="N302" s="30">
        <v>0</v>
      </c>
      <c r="O302" s="31">
        <v>40</v>
      </c>
      <c r="P302" s="67">
        <v>0</v>
      </c>
      <c r="Q302" s="67">
        <v>0</v>
      </c>
      <c r="R302" s="67">
        <v>0</v>
      </c>
    </row>
    <row r="303" spans="1:18" ht="18" customHeight="1" x14ac:dyDescent="0.25">
      <c r="A303" s="1"/>
      <c r="B303" s="1" t="s">
        <v>13</v>
      </c>
      <c r="C303" s="25" t="s">
        <v>25</v>
      </c>
      <c r="D303" s="1">
        <v>35</v>
      </c>
      <c r="E303" s="2">
        <v>7.8</v>
      </c>
      <c r="F303" s="2">
        <v>6.75</v>
      </c>
      <c r="G303" s="2">
        <v>4.5</v>
      </c>
      <c r="H303" s="2">
        <v>16.5</v>
      </c>
      <c r="I303" s="2">
        <v>100</v>
      </c>
      <c r="J303" s="1"/>
      <c r="K303" s="2">
        <v>5.75</v>
      </c>
      <c r="L303" s="2">
        <v>2.5</v>
      </c>
      <c r="M303" s="2">
        <v>16.25</v>
      </c>
      <c r="N303" s="2">
        <v>1.05</v>
      </c>
      <c r="O303" s="66">
        <v>0</v>
      </c>
      <c r="P303" s="2">
        <v>0.09</v>
      </c>
      <c r="Q303" s="2">
        <v>0.42</v>
      </c>
      <c r="R303" s="66">
        <f t="shared" ref="R303" si="28">0*30/50</f>
        <v>0</v>
      </c>
    </row>
    <row r="304" spans="1:18" ht="18" customHeight="1" x14ac:dyDescent="0.25">
      <c r="A304" s="1">
        <v>376</v>
      </c>
      <c r="B304" s="1" t="s">
        <v>14</v>
      </c>
      <c r="C304" s="25" t="s">
        <v>16</v>
      </c>
      <c r="D304" s="1">
        <v>200</v>
      </c>
      <c r="E304" s="2">
        <v>1.9</v>
      </c>
      <c r="F304" s="2">
        <v>0.1</v>
      </c>
      <c r="G304" s="66">
        <v>0</v>
      </c>
      <c r="H304" s="2">
        <v>15</v>
      </c>
      <c r="I304" s="2">
        <v>60</v>
      </c>
      <c r="J304" s="41"/>
      <c r="K304" s="2">
        <v>5</v>
      </c>
      <c r="L304" s="66">
        <v>0</v>
      </c>
      <c r="M304" s="66">
        <v>0</v>
      </c>
      <c r="N304" s="2">
        <v>2</v>
      </c>
      <c r="O304" s="66">
        <v>0</v>
      </c>
      <c r="P304" s="66">
        <v>0</v>
      </c>
      <c r="Q304" s="66">
        <v>0</v>
      </c>
      <c r="R304" s="66">
        <v>0</v>
      </c>
    </row>
    <row r="305" spans="1:18" ht="18" customHeight="1" x14ac:dyDescent="0.25">
      <c r="A305" s="97" t="s">
        <v>11</v>
      </c>
      <c r="B305" s="97"/>
      <c r="C305" s="97"/>
      <c r="D305" s="23">
        <v>555</v>
      </c>
      <c r="E305" s="12">
        <f>SUM(E299:E304)</f>
        <v>61.72</v>
      </c>
      <c r="F305" s="12">
        <f>SUM(F299:F304)</f>
        <v>18.524999999999999</v>
      </c>
      <c r="G305" s="12">
        <f>SUM(G299:G304)</f>
        <v>27.324999999999999</v>
      </c>
      <c r="H305" s="12">
        <f>SUM(H299:H304)</f>
        <v>97.625</v>
      </c>
      <c r="I305" s="12">
        <f>SUM(I299:I304)</f>
        <v>676.9</v>
      </c>
      <c r="J305" s="41"/>
      <c r="K305" s="12">
        <f t="shared" ref="K305:R305" si="29">SUM(K300:K304)</f>
        <v>264.89999999999998</v>
      </c>
      <c r="L305" s="12">
        <f t="shared" si="29"/>
        <v>48.375</v>
      </c>
      <c r="M305" s="12">
        <f t="shared" si="29"/>
        <v>257.875</v>
      </c>
      <c r="N305" s="12">
        <f t="shared" si="29"/>
        <v>3.9750000000000001</v>
      </c>
      <c r="O305" s="12">
        <f t="shared" si="29"/>
        <v>85.875</v>
      </c>
      <c r="P305" s="12">
        <f t="shared" si="29"/>
        <v>0.215</v>
      </c>
      <c r="Q305" s="12">
        <f t="shared" si="29"/>
        <v>0.42</v>
      </c>
      <c r="R305" s="12">
        <f t="shared" si="29"/>
        <v>1.375</v>
      </c>
    </row>
    <row r="306" spans="1:18" ht="18" customHeight="1" x14ac:dyDescent="0.25">
      <c r="A306" s="118" t="s">
        <v>12</v>
      </c>
      <c r="B306" s="119"/>
      <c r="C306" s="119"/>
      <c r="D306" s="119"/>
      <c r="E306" s="119"/>
      <c r="F306" s="119"/>
      <c r="G306" s="119"/>
      <c r="H306" s="119"/>
      <c r="I306" s="119"/>
      <c r="J306" s="119"/>
      <c r="K306" s="119"/>
      <c r="L306" s="119"/>
      <c r="M306" s="119"/>
      <c r="N306" s="119"/>
      <c r="O306" s="119"/>
      <c r="P306" s="119"/>
      <c r="Q306" s="119"/>
      <c r="R306" s="120"/>
    </row>
    <row r="307" spans="1:18" ht="18" customHeight="1" x14ac:dyDescent="0.25">
      <c r="A307" s="93" t="s">
        <v>26</v>
      </c>
      <c r="B307" s="92" t="s">
        <v>0</v>
      </c>
      <c r="C307" s="93" t="s">
        <v>35</v>
      </c>
      <c r="D307" s="92" t="s">
        <v>1</v>
      </c>
      <c r="E307" s="92" t="s">
        <v>2</v>
      </c>
      <c r="F307" s="95" t="s">
        <v>55</v>
      </c>
      <c r="G307" s="95" t="s">
        <v>56</v>
      </c>
      <c r="H307" s="95" t="s">
        <v>57</v>
      </c>
      <c r="I307" s="92" t="s">
        <v>3</v>
      </c>
      <c r="J307" s="14"/>
      <c r="K307" s="7" t="s">
        <v>58</v>
      </c>
      <c r="L307" s="7"/>
      <c r="M307" s="7"/>
      <c r="N307" s="7"/>
      <c r="O307" s="92" t="s">
        <v>59</v>
      </c>
      <c r="P307" s="92"/>
      <c r="Q307" s="92"/>
      <c r="R307" s="92"/>
    </row>
    <row r="308" spans="1:18" ht="15" customHeight="1" x14ac:dyDescent="0.25">
      <c r="A308" s="93"/>
      <c r="B308" s="92"/>
      <c r="C308" s="93"/>
      <c r="D308" s="92"/>
      <c r="E308" s="92"/>
      <c r="F308" s="96"/>
      <c r="G308" s="96"/>
      <c r="H308" s="96"/>
      <c r="I308" s="92"/>
      <c r="J308" s="14"/>
      <c r="K308" s="28" t="s">
        <v>27</v>
      </c>
      <c r="L308" s="23" t="s">
        <v>28</v>
      </c>
      <c r="M308" s="23" t="s">
        <v>29</v>
      </c>
      <c r="N308" s="23" t="s">
        <v>30</v>
      </c>
      <c r="O308" s="23" t="s">
        <v>31</v>
      </c>
      <c r="P308" s="23" t="s">
        <v>63</v>
      </c>
      <c r="Q308" s="23" t="s">
        <v>33</v>
      </c>
      <c r="R308" s="23" t="s">
        <v>34</v>
      </c>
    </row>
    <row r="309" spans="1:18" ht="18" customHeight="1" x14ac:dyDescent="0.25">
      <c r="A309" s="26">
        <v>71</v>
      </c>
      <c r="B309" s="1" t="s">
        <v>7</v>
      </c>
      <c r="C309" s="5" t="s">
        <v>70</v>
      </c>
      <c r="D309" s="1">
        <v>100</v>
      </c>
      <c r="E309" s="2">
        <v>36.82</v>
      </c>
      <c r="F309" s="75">
        <v>0.8</v>
      </c>
      <c r="G309" s="75">
        <v>0</v>
      </c>
      <c r="H309" s="75">
        <v>3.3</v>
      </c>
      <c r="I309" s="2">
        <v>16</v>
      </c>
      <c r="J309" s="62"/>
      <c r="K309" s="2">
        <v>23</v>
      </c>
      <c r="L309" s="2">
        <v>0</v>
      </c>
      <c r="M309" s="2">
        <v>0</v>
      </c>
      <c r="N309" s="2">
        <v>0.5</v>
      </c>
      <c r="O309" s="2">
        <v>0</v>
      </c>
      <c r="P309" s="2">
        <v>0</v>
      </c>
      <c r="Q309" s="2">
        <v>0</v>
      </c>
      <c r="R309" s="2">
        <v>5</v>
      </c>
    </row>
    <row r="310" spans="1:18" ht="18" customHeight="1" x14ac:dyDescent="0.25">
      <c r="A310" s="1">
        <v>108</v>
      </c>
      <c r="B310" s="1" t="s">
        <v>8</v>
      </c>
      <c r="C310" s="52" t="s">
        <v>21</v>
      </c>
      <c r="D310" s="1">
        <v>250</v>
      </c>
      <c r="E310" s="2">
        <v>13.26</v>
      </c>
      <c r="F310" s="2">
        <v>5.2</v>
      </c>
      <c r="G310" s="2">
        <v>6.3</v>
      </c>
      <c r="H310" s="2">
        <v>29</v>
      </c>
      <c r="I310" s="2">
        <v>193.5</v>
      </c>
      <c r="J310" s="41"/>
      <c r="K310" s="2">
        <v>86</v>
      </c>
      <c r="L310" s="2">
        <v>7.5</v>
      </c>
      <c r="M310" s="2">
        <v>14.7</v>
      </c>
      <c r="N310" s="2">
        <v>0.8</v>
      </c>
      <c r="O310" s="2">
        <v>1.2</v>
      </c>
      <c r="P310" s="2">
        <v>2.4</v>
      </c>
      <c r="Q310" s="2">
        <v>0.2</v>
      </c>
      <c r="R310" s="2">
        <v>1.9</v>
      </c>
    </row>
    <row r="311" spans="1:18" ht="17.25" customHeight="1" x14ac:dyDescent="0.25">
      <c r="A311" s="68">
        <v>268</v>
      </c>
      <c r="B311" s="68" t="s">
        <v>9</v>
      </c>
      <c r="C311" s="87" t="s">
        <v>22</v>
      </c>
      <c r="D311" s="40">
        <v>100</v>
      </c>
      <c r="E311" s="44">
        <v>55.9</v>
      </c>
      <c r="F311" s="44">
        <v>14.8</v>
      </c>
      <c r="G311" s="44">
        <v>19.399999999999999</v>
      </c>
      <c r="H311" s="44">
        <v>22.2</v>
      </c>
      <c r="I311" s="44">
        <v>322</v>
      </c>
      <c r="J311" s="69"/>
      <c r="K311" s="44">
        <v>43.7</v>
      </c>
      <c r="L311" s="44">
        <v>32.1</v>
      </c>
      <c r="M311" s="44">
        <v>166.4</v>
      </c>
      <c r="N311" s="44">
        <v>1</v>
      </c>
      <c r="O311" s="44">
        <v>28.7</v>
      </c>
      <c r="P311" s="44">
        <v>0.1</v>
      </c>
      <c r="Q311" s="44">
        <v>0</v>
      </c>
      <c r="R311" s="44">
        <v>0.1</v>
      </c>
    </row>
    <row r="312" spans="1:18" ht="18" customHeight="1" x14ac:dyDescent="0.25">
      <c r="A312" s="68">
        <v>321</v>
      </c>
      <c r="B312" s="68" t="s">
        <v>13</v>
      </c>
      <c r="C312" s="87" t="s">
        <v>23</v>
      </c>
      <c r="D312" s="40">
        <v>180</v>
      </c>
      <c r="E312" s="44">
        <v>21.69</v>
      </c>
      <c r="F312" s="44">
        <f>4*180/200</f>
        <v>3.6</v>
      </c>
      <c r="G312" s="44">
        <f>7.2*180/200</f>
        <v>6.48</v>
      </c>
      <c r="H312" s="44">
        <f>21.2*180/200</f>
        <v>19.079999999999998</v>
      </c>
      <c r="I312" s="44">
        <f>166*180/200</f>
        <v>149.4</v>
      </c>
      <c r="J312" s="69"/>
      <c r="K312" s="44">
        <f>93.2*180/200</f>
        <v>83.88</v>
      </c>
      <c r="L312" s="44">
        <f>30.7*180/200</f>
        <v>27.63</v>
      </c>
      <c r="M312" s="44">
        <f>62.3*180/200</f>
        <v>56.07</v>
      </c>
      <c r="N312" s="44">
        <f>1.2*180/200</f>
        <v>1.08</v>
      </c>
      <c r="O312" s="44">
        <f>0.4*180/200</f>
        <v>0.36</v>
      </c>
      <c r="P312" s="44">
        <f>19.2*180/200</f>
        <v>17.28</v>
      </c>
      <c r="Q312" s="44">
        <f>1.3*180/200</f>
        <v>1.17</v>
      </c>
      <c r="R312" s="44">
        <f>80.7*180/200</f>
        <v>72.63</v>
      </c>
    </row>
    <row r="313" spans="1:18" ht="18" customHeight="1" x14ac:dyDescent="0.25">
      <c r="A313" s="1">
        <v>1041</v>
      </c>
      <c r="B313" s="1" t="s">
        <v>14</v>
      </c>
      <c r="C313" s="25" t="s">
        <v>51</v>
      </c>
      <c r="D313" s="1">
        <v>200</v>
      </c>
      <c r="E313" s="2">
        <v>8.8000000000000007</v>
      </c>
      <c r="F313" s="2">
        <v>0.1</v>
      </c>
      <c r="G313" s="2">
        <v>0</v>
      </c>
      <c r="H313" s="2">
        <v>27.1</v>
      </c>
      <c r="I313" s="2">
        <v>108.6</v>
      </c>
      <c r="J313" s="49"/>
      <c r="K313" s="2">
        <v>23.52</v>
      </c>
      <c r="L313" s="2">
        <v>0</v>
      </c>
      <c r="M313" s="2">
        <v>0</v>
      </c>
      <c r="N313" s="2">
        <v>0.24</v>
      </c>
      <c r="O313" s="2">
        <v>0</v>
      </c>
      <c r="P313" s="2">
        <v>0.03</v>
      </c>
      <c r="Q313" s="2">
        <v>0</v>
      </c>
      <c r="R313" s="2">
        <v>12.9</v>
      </c>
    </row>
    <row r="314" spans="1:18" ht="18" customHeight="1" x14ac:dyDescent="0.25">
      <c r="A314" s="1"/>
      <c r="B314" s="1" t="s">
        <v>15</v>
      </c>
      <c r="C314" s="52" t="s">
        <v>76</v>
      </c>
      <c r="D314" s="30">
        <v>40</v>
      </c>
      <c r="E314" s="2">
        <v>3.33</v>
      </c>
      <c r="F314" s="2">
        <f>1.68*40/30</f>
        <v>2.2400000000000002</v>
      </c>
      <c r="G314" s="2">
        <f>0.33*40/30</f>
        <v>0.44000000000000006</v>
      </c>
      <c r="H314" s="2">
        <f>14.82*40/30</f>
        <v>19.759999999999998</v>
      </c>
      <c r="I314" s="2">
        <f>68.97*40/30</f>
        <v>91.960000000000008</v>
      </c>
      <c r="J314" s="41"/>
      <c r="K314" s="2">
        <f>6.9*40/30</f>
        <v>9.1999999999999993</v>
      </c>
      <c r="L314" s="2">
        <f>7.5*40/30</f>
        <v>10</v>
      </c>
      <c r="M314" s="2">
        <f>31.8*40/30</f>
        <v>42.4</v>
      </c>
      <c r="N314" s="2">
        <f>0.93*40/30</f>
        <v>1.24</v>
      </c>
      <c r="O314" s="66">
        <v>0</v>
      </c>
      <c r="P314" s="66">
        <v>0</v>
      </c>
      <c r="Q314" s="66">
        <v>0</v>
      </c>
      <c r="R314" s="66">
        <v>0</v>
      </c>
    </row>
    <row r="315" spans="1:18" ht="18" customHeight="1" x14ac:dyDescent="0.25">
      <c r="A315" s="1"/>
      <c r="B315" s="1" t="s">
        <v>64</v>
      </c>
      <c r="C315" s="5" t="s">
        <v>62</v>
      </c>
      <c r="D315" s="30">
        <v>70</v>
      </c>
      <c r="E315" s="33">
        <v>5.83</v>
      </c>
      <c r="F315" s="33">
        <f>2.37*70/30</f>
        <v>5.53</v>
      </c>
      <c r="G315" s="33">
        <f>0.3*70/30</f>
        <v>0.7</v>
      </c>
      <c r="H315" s="33">
        <f>14.49*70/30</f>
        <v>33.81</v>
      </c>
      <c r="I315" s="33">
        <f>70.14*70/30</f>
        <v>163.66</v>
      </c>
      <c r="J315" s="61"/>
      <c r="K315" s="33">
        <f>6.9*70/30</f>
        <v>16.100000000000001</v>
      </c>
      <c r="L315" s="33">
        <f>9.9*70/30</f>
        <v>23.1</v>
      </c>
      <c r="M315" s="33">
        <f>26.1*70/30</f>
        <v>60.9</v>
      </c>
      <c r="N315" s="33">
        <f>0.33*70/30</f>
        <v>0.77</v>
      </c>
      <c r="O315" s="67">
        <v>0</v>
      </c>
      <c r="P315" s="67">
        <v>0</v>
      </c>
      <c r="Q315" s="67">
        <v>0</v>
      </c>
      <c r="R315" s="67">
        <v>0</v>
      </c>
    </row>
    <row r="316" spans="1:18" ht="18" customHeight="1" x14ac:dyDescent="0.25">
      <c r="A316" s="97" t="s">
        <v>11</v>
      </c>
      <c r="B316" s="97"/>
      <c r="C316" s="97"/>
      <c r="D316" s="57">
        <f>SUM(D309:D315)</f>
        <v>940</v>
      </c>
      <c r="E316" s="58">
        <f>SUM(E309:E315)</f>
        <v>145.63000000000002</v>
      </c>
      <c r="F316" s="58">
        <f t="shared" ref="F316:R316" si="30">SUM(F309:F315)</f>
        <v>32.270000000000003</v>
      </c>
      <c r="G316" s="58">
        <f t="shared" si="30"/>
        <v>33.32</v>
      </c>
      <c r="H316" s="58">
        <f t="shared" si="30"/>
        <v>154.25</v>
      </c>
      <c r="I316" s="58">
        <f t="shared" si="30"/>
        <v>1045.1200000000001</v>
      </c>
      <c r="J316" s="58">
        <f t="shared" si="30"/>
        <v>0</v>
      </c>
      <c r="K316" s="58">
        <f t="shared" si="30"/>
        <v>285.39999999999998</v>
      </c>
      <c r="L316" s="58">
        <f t="shared" si="30"/>
        <v>100.33000000000001</v>
      </c>
      <c r="M316" s="58">
        <f t="shared" si="30"/>
        <v>340.46999999999997</v>
      </c>
      <c r="N316" s="58">
        <f t="shared" si="30"/>
        <v>5.6300000000000008</v>
      </c>
      <c r="O316" s="58">
        <f t="shared" si="30"/>
        <v>30.259999999999998</v>
      </c>
      <c r="P316" s="58">
        <f t="shared" si="30"/>
        <v>19.810000000000002</v>
      </c>
      <c r="Q316" s="58">
        <f t="shared" si="30"/>
        <v>1.3699999999999999</v>
      </c>
      <c r="R316" s="58">
        <f t="shared" si="30"/>
        <v>92.53</v>
      </c>
    </row>
    <row r="317" spans="1:18" ht="18" customHeight="1" x14ac:dyDescent="0.25">
      <c r="A317" s="104" t="s">
        <v>17</v>
      </c>
      <c r="B317" s="104"/>
      <c r="C317" s="104"/>
      <c r="D317" s="104"/>
      <c r="E317" s="12">
        <f t="shared" ref="E317:R317" si="31">E305+E316</f>
        <v>207.35000000000002</v>
      </c>
      <c r="F317" s="12">
        <f t="shared" si="31"/>
        <v>50.795000000000002</v>
      </c>
      <c r="G317" s="12">
        <f t="shared" si="31"/>
        <v>60.644999999999996</v>
      </c>
      <c r="H317" s="12">
        <f t="shared" si="31"/>
        <v>251.875</v>
      </c>
      <c r="I317" s="12">
        <f t="shared" si="31"/>
        <v>1722.02</v>
      </c>
      <c r="J317" s="12">
        <f t="shared" si="31"/>
        <v>0</v>
      </c>
      <c r="K317" s="12">
        <f t="shared" si="31"/>
        <v>550.29999999999995</v>
      </c>
      <c r="L317" s="12">
        <f t="shared" si="31"/>
        <v>148.70500000000001</v>
      </c>
      <c r="M317" s="12">
        <f t="shared" si="31"/>
        <v>598.34500000000003</v>
      </c>
      <c r="N317" s="12">
        <f t="shared" si="31"/>
        <v>9.6050000000000004</v>
      </c>
      <c r="O317" s="12">
        <f t="shared" si="31"/>
        <v>116.13499999999999</v>
      </c>
      <c r="P317" s="12">
        <f t="shared" si="31"/>
        <v>20.025000000000002</v>
      </c>
      <c r="Q317" s="12">
        <f t="shared" si="31"/>
        <v>1.7899999999999998</v>
      </c>
      <c r="R317" s="12">
        <f t="shared" si="31"/>
        <v>93.905000000000001</v>
      </c>
    </row>
    <row r="318" spans="1:18" ht="18" customHeight="1" x14ac:dyDescent="0.25">
      <c r="A318" s="50"/>
      <c r="B318" s="50"/>
      <c r="C318" s="50"/>
      <c r="D318" s="50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</row>
    <row r="319" spans="1:18" ht="18" customHeight="1" x14ac:dyDescent="0.25">
      <c r="A319" s="50"/>
      <c r="B319" s="50"/>
      <c r="C319" s="50"/>
      <c r="D319" s="50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</row>
    <row r="320" spans="1:18" ht="18" customHeight="1" x14ac:dyDescent="0.25">
      <c r="A320" s="50"/>
      <c r="B320" s="50"/>
      <c r="C320" s="50"/>
      <c r="D320" s="50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</row>
    <row r="321" spans="1:18" ht="18" customHeight="1" x14ac:dyDescent="0.25">
      <c r="A321" s="50"/>
      <c r="B321" s="50"/>
      <c r="C321" s="71" t="s">
        <v>96</v>
      </c>
      <c r="D321" s="50"/>
      <c r="E321" s="51">
        <f>E17+E47+E80+E111+E143+E176+E207+E239+E272+E305</f>
        <v>836.94</v>
      </c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</row>
    <row r="322" spans="1:18" ht="18" customHeight="1" x14ac:dyDescent="0.25">
      <c r="A322" s="50"/>
      <c r="B322" s="50"/>
      <c r="C322" s="71" t="s">
        <v>97</v>
      </c>
      <c r="D322" s="50"/>
      <c r="E322" s="51">
        <f>E321/10</f>
        <v>83.694000000000003</v>
      </c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</row>
    <row r="323" spans="1:18" ht="18" customHeight="1" x14ac:dyDescent="0.25">
      <c r="A323" s="50"/>
      <c r="B323" s="50"/>
      <c r="C323" s="71" t="s">
        <v>98</v>
      </c>
      <c r="D323" s="50"/>
      <c r="E323" s="51"/>
      <c r="F323" s="51">
        <f>E28+E59+E91+E123+E155+E187+E218+E251+E284+E316</f>
        <v>1693.3200000000002</v>
      </c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</row>
    <row r="324" spans="1:18" ht="18" customHeight="1" x14ac:dyDescent="0.25">
      <c r="A324" s="50"/>
      <c r="B324" s="50"/>
      <c r="C324" s="71" t="s">
        <v>97</v>
      </c>
      <c r="D324" s="50"/>
      <c r="E324" s="51"/>
      <c r="F324" s="51">
        <f>F323/10</f>
        <v>169.33200000000002</v>
      </c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</row>
    <row r="325" spans="1:18" ht="18" customHeight="1" x14ac:dyDescent="0.25">
      <c r="A325" s="50"/>
      <c r="B325" s="50"/>
      <c r="C325" s="50"/>
      <c r="D325" s="50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</row>
    <row r="326" spans="1:18" ht="18" customHeight="1" x14ac:dyDescent="0.25">
      <c r="A326" s="50"/>
      <c r="B326" s="50"/>
      <c r="C326" s="50"/>
      <c r="D326" s="50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</row>
    <row r="327" spans="1:18" ht="18" customHeight="1" x14ac:dyDescent="0.25">
      <c r="A327" s="50"/>
      <c r="B327" s="50"/>
      <c r="C327" s="19"/>
      <c r="D327" s="48"/>
      <c r="E327" s="48"/>
      <c r="F327" s="47"/>
      <c r="G327" s="46"/>
      <c r="H327" s="46"/>
      <c r="I327" s="46"/>
      <c r="J327" s="51"/>
      <c r="K327" s="51"/>
      <c r="L327" s="51"/>
      <c r="M327" s="51"/>
      <c r="N327" s="51"/>
      <c r="O327" s="51"/>
      <c r="P327" s="51"/>
      <c r="Q327" s="51"/>
      <c r="R327" s="51"/>
    </row>
    <row r="328" spans="1:18" ht="18" customHeight="1" x14ac:dyDescent="0.25">
      <c r="A328" s="50"/>
      <c r="B328" s="50"/>
      <c r="C328" s="19" t="s">
        <v>77</v>
      </c>
      <c r="D328" s="48"/>
      <c r="E328" s="48"/>
      <c r="F328" s="49" t="s">
        <v>79</v>
      </c>
      <c r="G328" s="6" t="s">
        <v>80</v>
      </c>
      <c r="H328" s="6" t="s">
        <v>81</v>
      </c>
      <c r="I328" s="6" t="s">
        <v>82</v>
      </c>
      <c r="J328" s="51"/>
      <c r="K328" s="51"/>
      <c r="L328" s="51"/>
      <c r="M328" s="51"/>
      <c r="N328" s="51"/>
      <c r="O328" s="51"/>
      <c r="P328" s="51"/>
      <c r="Q328" s="51"/>
      <c r="R328" s="51"/>
    </row>
    <row r="329" spans="1:18" ht="18" customHeight="1" x14ac:dyDescent="0.25">
      <c r="A329" s="50"/>
      <c r="B329" s="50"/>
      <c r="C329" t="s">
        <v>78</v>
      </c>
      <c r="D329" s="46"/>
      <c r="E329" s="46"/>
      <c r="F329" s="6">
        <v>65.338639999999998</v>
      </c>
      <c r="G329" s="6">
        <v>55.319000000000003</v>
      </c>
      <c r="H329" s="6">
        <v>232.7953</v>
      </c>
      <c r="I329" s="6">
        <v>1646.7225000000001</v>
      </c>
      <c r="J329" s="51"/>
      <c r="K329" s="51"/>
      <c r="L329" s="51"/>
      <c r="M329" s="51"/>
      <c r="N329" s="51"/>
      <c r="O329" s="51"/>
      <c r="P329" s="51"/>
      <c r="Q329" s="51"/>
      <c r="R329" s="51"/>
    </row>
    <row r="330" spans="1:18" ht="18" customHeight="1" x14ac:dyDescent="0.25">
      <c r="A330" s="50"/>
      <c r="B330" s="50"/>
      <c r="C330" s="50"/>
      <c r="D330" s="50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</row>
    <row r="331" spans="1:18" ht="18" customHeight="1" x14ac:dyDescent="0.25">
      <c r="A331" s="15"/>
      <c r="B331" s="15"/>
      <c r="J331" s="19"/>
      <c r="K331" s="18"/>
      <c r="L331" s="18"/>
      <c r="M331" s="18"/>
      <c r="N331" s="18"/>
      <c r="O331" s="18"/>
      <c r="P331" s="18"/>
      <c r="Q331" s="18"/>
      <c r="R331" s="18"/>
    </row>
    <row r="332" spans="1:18" ht="18" customHeight="1" x14ac:dyDescent="0.25">
      <c r="A332" s="15"/>
      <c r="B332" s="15"/>
      <c r="J332" s="19"/>
      <c r="K332" s="18"/>
      <c r="L332" s="18"/>
      <c r="M332" s="18"/>
      <c r="N332" s="18"/>
      <c r="O332" s="18"/>
      <c r="P332" s="18"/>
      <c r="Q332" s="18"/>
      <c r="R332" s="18"/>
    </row>
    <row r="333" spans="1:18" ht="18" customHeight="1" x14ac:dyDescent="0.25">
      <c r="A333" s="15"/>
      <c r="B333" s="15"/>
      <c r="J333" s="19"/>
      <c r="K333" s="18"/>
      <c r="L333" s="18"/>
      <c r="M333" s="18"/>
      <c r="N333" s="18"/>
      <c r="O333" s="18"/>
      <c r="P333" s="18"/>
      <c r="Q333" s="18"/>
      <c r="R333" s="18"/>
    </row>
    <row r="334" spans="1:18" x14ac:dyDescent="0.25">
      <c r="A334" s="15"/>
      <c r="B334" s="15"/>
      <c r="J334" s="19"/>
      <c r="K334" s="18"/>
      <c r="L334" s="18"/>
      <c r="M334" s="18"/>
      <c r="N334" s="18"/>
      <c r="O334" s="18"/>
      <c r="P334" s="18"/>
      <c r="Q334" s="18"/>
      <c r="R334" s="18"/>
    </row>
    <row r="335" spans="1:18" x14ac:dyDescent="0.25">
      <c r="J335" s="46"/>
      <c r="K335" s="46"/>
    </row>
    <row r="336" spans="1:18" x14ac:dyDescent="0.25">
      <c r="J336" s="46"/>
      <c r="K336" s="46"/>
    </row>
    <row r="337" spans="4:11" x14ac:dyDescent="0.25">
      <c r="J337" s="46"/>
      <c r="K337" s="46"/>
    </row>
    <row r="338" spans="4:11" x14ac:dyDescent="0.25">
      <c r="J338" s="46"/>
      <c r="K338" s="46"/>
    </row>
    <row r="339" spans="4:11" x14ac:dyDescent="0.25">
      <c r="D339" s="46"/>
      <c r="E339" s="46"/>
      <c r="F339" s="46"/>
      <c r="G339" s="46"/>
      <c r="H339" s="46"/>
      <c r="I339" s="46"/>
      <c r="J339" s="46"/>
      <c r="K339" s="46"/>
    </row>
    <row r="341" spans="4:11" x14ac:dyDescent="0.25">
      <c r="D341" s="27"/>
      <c r="E341" s="27"/>
    </row>
  </sheetData>
  <mergeCells count="372">
    <mergeCell ref="A260:R260"/>
    <mergeCell ref="A261:R261"/>
    <mergeCell ref="A262:R262"/>
    <mergeCell ref="A289:C289"/>
    <mergeCell ref="A290:C290"/>
    <mergeCell ref="A291:C291"/>
    <mergeCell ref="A292:C292"/>
    <mergeCell ref="M289:R289"/>
    <mergeCell ref="M290:R290"/>
    <mergeCell ref="M291:R291"/>
    <mergeCell ref="M292:R292"/>
    <mergeCell ref="F265:F267"/>
    <mergeCell ref="G265:G267"/>
    <mergeCell ref="H265:H267"/>
    <mergeCell ref="I265:I267"/>
    <mergeCell ref="O265:R265"/>
    <mergeCell ref="A227:R227"/>
    <mergeCell ref="A228:R228"/>
    <mergeCell ref="A229:R229"/>
    <mergeCell ref="A256:C256"/>
    <mergeCell ref="A257:C257"/>
    <mergeCell ref="A258:C258"/>
    <mergeCell ref="A259:C259"/>
    <mergeCell ref="M256:R256"/>
    <mergeCell ref="M257:R257"/>
    <mergeCell ref="M258:R258"/>
    <mergeCell ref="M259:R259"/>
    <mergeCell ref="F232:F233"/>
    <mergeCell ref="A230:R230"/>
    <mergeCell ref="I232:I233"/>
    <mergeCell ref="O232:R232"/>
    <mergeCell ref="C232:C233"/>
    <mergeCell ref="D232:D233"/>
    <mergeCell ref="E232:E233"/>
    <mergeCell ref="H232:H233"/>
    <mergeCell ref="A232:A233"/>
    <mergeCell ref="B232:B233"/>
    <mergeCell ref="A252:D252"/>
    <mergeCell ref="A196:R196"/>
    <mergeCell ref="A197:R197"/>
    <mergeCell ref="A198:R198"/>
    <mergeCell ref="A223:C223"/>
    <mergeCell ref="A224:C224"/>
    <mergeCell ref="A225:C225"/>
    <mergeCell ref="A226:C226"/>
    <mergeCell ref="M223:R223"/>
    <mergeCell ref="M224:R224"/>
    <mergeCell ref="M225:R225"/>
    <mergeCell ref="M226:R226"/>
    <mergeCell ref="H209:H210"/>
    <mergeCell ref="A207:C207"/>
    <mergeCell ref="A208:R208"/>
    <mergeCell ref="F209:F210"/>
    <mergeCell ref="A209:A210"/>
    <mergeCell ref="A219:D219"/>
    <mergeCell ref="D209:D210"/>
    <mergeCell ref="E209:E210"/>
    <mergeCell ref="A218:C218"/>
    <mergeCell ref="A200:R200"/>
    <mergeCell ref="A201:A202"/>
    <mergeCell ref="B201:B202"/>
    <mergeCell ref="C201:C202"/>
    <mergeCell ref="A164:R164"/>
    <mergeCell ref="A165:R165"/>
    <mergeCell ref="A166:R166"/>
    <mergeCell ref="A192:C192"/>
    <mergeCell ref="A193:C193"/>
    <mergeCell ref="A194:C194"/>
    <mergeCell ref="A195:C195"/>
    <mergeCell ref="M192:R192"/>
    <mergeCell ref="M193:R193"/>
    <mergeCell ref="M194:R194"/>
    <mergeCell ref="M195:R195"/>
    <mergeCell ref="A176:C176"/>
    <mergeCell ref="B169:B170"/>
    <mergeCell ref="I178:I179"/>
    <mergeCell ref="O178:R178"/>
    <mergeCell ref="B178:B179"/>
    <mergeCell ref="A188:D188"/>
    <mergeCell ref="A187:C187"/>
    <mergeCell ref="F178:F179"/>
    <mergeCell ref="C178:C179"/>
    <mergeCell ref="D178:D179"/>
    <mergeCell ref="E178:E179"/>
    <mergeCell ref="A178:A179"/>
    <mergeCell ref="C169:C170"/>
    <mergeCell ref="A134:R134"/>
    <mergeCell ref="A160:C160"/>
    <mergeCell ref="A161:C161"/>
    <mergeCell ref="A162:C162"/>
    <mergeCell ref="A163:C163"/>
    <mergeCell ref="M160:R160"/>
    <mergeCell ref="M161:R161"/>
    <mergeCell ref="M162:R162"/>
    <mergeCell ref="M163:R163"/>
    <mergeCell ref="I137:I138"/>
    <mergeCell ref="H145:H146"/>
    <mergeCell ref="I145:I146"/>
    <mergeCell ref="E137:E138"/>
    <mergeCell ref="F137:F138"/>
    <mergeCell ref="G137:G138"/>
    <mergeCell ref="H137:H138"/>
    <mergeCell ref="C137:C138"/>
    <mergeCell ref="D137:D138"/>
    <mergeCell ref="A137:A138"/>
    <mergeCell ref="A129:C129"/>
    <mergeCell ref="A130:C130"/>
    <mergeCell ref="A131:C131"/>
    <mergeCell ref="M128:R128"/>
    <mergeCell ref="M129:R129"/>
    <mergeCell ref="M130:R130"/>
    <mergeCell ref="M131:R131"/>
    <mergeCell ref="A132:R132"/>
    <mergeCell ref="A133:R133"/>
    <mergeCell ref="A96:C96"/>
    <mergeCell ref="A97:C97"/>
    <mergeCell ref="A98:C98"/>
    <mergeCell ref="A99:C99"/>
    <mergeCell ref="M96:R96"/>
    <mergeCell ref="M97:R97"/>
    <mergeCell ref="M98:R98"/>
    <mergeCell ref="M99:R99"/>
    <mergeCell ref="A128:C128"/>
    <mergeCell ref="A66:C66"/>
    <mergeCell ref="A67:C67"/>
    <mergeCell ref="M64:R64"/>
    <mergeCell ref="M65:R65"/>
    <mergeCell ref="M66:R66"/>
    <mergeCell ref="M67:R67"/>
    <mergeCell ref="A68:R68"/>
    <mergeCell ref="A69:R69"/>
    <mergeCell ref="A70:R70"/>
    <mergeCell ref="M34:R34"/>
    <mergeCell ref="M35:R35"/>
    <mergeCell ref="M36:R36"/>
    <mergeCell ref="A143:C143"/>
    <mergeCell ref="A60:D60"/>
    <mergeCell ref="A123:C123"/>
    <mergeCell ref="D113:D114"/>
    <mergeCell ref="B113:B114"/>
    <mergeCell ref="G113:G114"/>
    <mergeCell ref="H113:H114"/>
    <mergeCell ref="I113:I114"/>
    <mergeCell ref="E113:E114"/>
    <mergeCell ref="F113:F114"/>
    <mergeCell ref="A112:R112"/>
    <mergeCell ref="I105:I106"/>
    <mergeCell ref="H105:H106"/>
    <mergeCell ref="A113:A114"/>
    <mergeCell ref="A105:A106"/>
    <mergeCell ref="B105:B106"/>
    <mergeCell ref="A37:R37"/>
    <mergeCell ref="A38:R38"/>
    <mergeCell ref="A39:R39"/>
    <mergeCell ref="A64:C64"/>
    <mergeCell ref="A65:C65"/>
    <mergeCell ref="A29:D29"/>
    <mergeCell ref="A47:C47"/>
    <mergeCell ref="I42:I43"/>
    <mergeCell ref="A48:R48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O49:R49"/>
    <mergeCell ref="C42:C43"/>
    <mergeCell ref="D42:D43"/>
    <mergeCell ref="E42:E43"/>
    <mergeCell ref="F42:F43"/>
    <mergeCell ref="G42:G43"/>
    <mergeCell ref="A33:C33"/>
    <mergeCell ref="A34:C34"/>
    <mergeCell ref="A35:C35"/>
    <mergeCell ref="A36:C36"/>
    <mergeCell ref="M33:R33"/>
    <mergeCell ref="D11:D12"/>
    <mergeCell ref="A40:R40"/>
    <mergeCell ref="A41:R41"/>
    <mergeCell ref="A124:D124"/>
    <mergeCell ref="A42:A43"/>
    <mergeCell ref="B42:B43"/>
    <mergeCell ref="A59:C59"/>
    <mergeCell ref="H42:H43"/>
    <mergeCell ref="O42:R42"/>
    <mergeCell ref="A81:R81"/>
    <mergeCell ref="A71:R71"/>
    <mergeCell ref="A72:R72"/>
    <mergeCell ref="A73:A75"/>
    <mergeCell ref="B73:B75"/>
    <mergeCell ref="C73:C75"/>
    <mergeCell ref="D73:D75"/>
    <mergeCell ref="E73:E75"/>
    <mergeCell ref="F73:F75"/>
    <mergeCell ref="G73:G75"/>
    <mergeCell ref="H73:H75"/>
    <mergeCell ref="A91:C91"/>
    <mergeCell ref="G82:G83"/>
    <mergeCell ref="A92:D92"/>
    <mergeCell ref="C113:C114"/>
    <mergeCell ref="A8:R8"/>
    <mergeCell ref="O113:R113"/>
    <mergeCell ref="O105:R105"/>
    <mergeCell ref="E105:E106"/>
    <mergeCell ref="H82:H83"/>
    <mergeCell ref="I82:I83"/>
    <mergeCell ref="F105:F106"/>
    <mergeCell ref="G105:G106"/>
    <mergeCell ref="D105:D106"/>
    <mergeCell ref="E11:E12"/>
    <mergeCell ref="D19:D20"/>
    <mergeCell ref="E19:E20"/>
    <mergeCell ref="F19:F20"/>
    <mergeCell ref="G19:G20"/>
    <mergeCell ref="A18:R18"/>
    <mergeCell ref="B19:B20"/>
    <mergeCell ref="C19:C20"/>
    <mergeCell ref="E82:E83"/>
    <mergeCell ref="F82:F83"/>
    <mergeCell ref="O82:R82"/>
    <mergeCell ref="A19:A20"/>
    <mergeCell ref="H19:H20"/>
    <mergeCell ref="I19:I20"/>
    <mergeCell ref="C11:C12"/>
    <mergeCell ref="A1:C1"/>
    <mergeCell ref="A2:C2"/>
    <mergeCell ref="A4:C4"/>
    <mergeCell ref="A5:C5"/>
    <mergeCell ref="D5:F5"/>
    <mergeCell ref="D2:I2"/>
    <mergeCell ref="D1:R1"/>
    <mergeCell ref="K2:R2"/>
    <mergeCell ref="A28:C28"/>
    <mergeCell ref="A17:C17"/>
    <mergeCell ref="F11:F12"/>
    <mergeCell ref="G11:G12"/>
    <mergeCell ref="H11:H12"/>
    <mergeCell ref="I11:I12"/>
    <mergeCell ref="D4:R4"/>
    <mergeCell ref="G5:R5"/>
    <mergeCell ref="A6:R6"/>
    <mergeCell ref="A9:R9"/>
    <mergeCell ref="A7:R7"/>
    <mergeCell ref="O19:R19"/>
    <mergeCell ref="A10:R10"/>
    <mergeCell ref="O11:R11"/>
    <mergeCell ref="A11:A12"/>
    <mergeCell ref="B11:B12"/>
    <mergeCell ref="A317:D317"/>
    <mergeCell ref="A306:R306"/>
    <mergeCell ref="C241:C242"/>
    <mergeCell ref="D241:D242"/>
    <mergeCell ref="E241:E242"/>
    <mergeCell ref="F241:F242"/>
    <mergeCell ref="G241:G242"/>
    <mergeCell ref="H241:H242"/>
    <mergeCell ref="I241:I242"/>
    <mergeCell ref="O241:R241"/>
    <mergeCell ref="A251:C251"/>
    <mergeCell ref="A241:A242"/>
    <mergeCell ref="B241:B242"/>
    <mergeCell ref="A284:C284"/>
    <mergeCell ref="A316:C316"/>
    <mergeCell ref="A273:R273"/>
    <mergeCell ref="A274:A275"/>
    <mergeCell ref="B274:B275"/>
    <mergeCell ref="O307:R307"/>
    <mergeCell ref="A307:A308"/>
    <mergeCell ref="B307:B308"/>
    <mergeCell ref="C307:C308"/>
    <mergeCell ref="D307:D308"/>
    <mergeCell ref="E307:E308"/>
    <mergeCell ref="F307:F308"/>
    <mergeCell ref="G307:G308"/>
    <mergeCell ref="H307:H308"/>
    <mergeCell ref="I307:I308"/>
    <mergeCell ref="C274:C275"/>
    <mergeCell ref="D274:D275"/>
    <mergeCell ref="E274:E275"/>
    <mergeCell ref="F274:F275"/>
    <mergeCell ref="G274:G275"/>
    <mergeCell ref="H274:H275"/>
    <mergeCell ref="I274:I275"/>
    <mergeCell ref="A285:D285"/>
    <mergeCell ref="A305:C305"/>
    <mergeCell ref="A296:R296"/>
    <mergeCell ref="A297:R297"/>
    <mergeCell ref="A298:A299"/>
    <mergeCell ref="B298:B299"/>
    <mergeCell ref="H298:H299"/>
    <mergeCell ref="O274:R274"/>
    <mergeCell ref="F298:F299"/>
    <mergeCell ref="G298:G299"/>
    <mergeCell ref="A293:R293"/>
    <mergeCell ref="A294:R294"/>
    <mergeCell ref="A295:R295"/>
    <mergeCell ref="D169:D170"/>
    <mergeCell ref="E169:E170"/>
    <mergeCell ref="F169:F170"/>
    <mergeCell ref="A155:C155"/>
    <mergeCell ref="A144:R144"/>
    <mergeCell ref="I73:I75"/>
    <mergeCell ref="O73:R73"/>
    <mergeCell ref="A80:C80"/>
    <mergeCell ref="A199:R199"/>
    <mergeCell ref="A177:R177"/>
    <mergeCell ref="O169:R169"/>
    <mergeCell ref="G169:G170"/>
    <mergeCell ref="H169:H170"/>
    <mergeCell ref="I169:I170"/>
    <mergeCell ref="C105:C106"/>
    <mergeCell ref="A104:R104"/>
    <mergeCell ref="A111:C111"/>
    <mergeCell ref="A82:A83"/>
    <mergeCell ref="B82:B83"/>
    <mergeCell ref="C82:C83"/>
    <mergeCell ref="D82:D83"/>
    <mergeCell ref="A100:R100"/>
    <mergeCell ref="A101:R101"/>
    <mergeCell ref="A102:R102"/>
    <mergeCell ref="D201:D202"/>
    <mergeCell ref="E201:E202"/>
    <mergeCell ref="F201:F202"/>
    <mergeCell ref="G201:G202"/>
    <mergeCell ref="H201:H202"/>
    <mergeCell ref="I201:I202"/>
    <mergeCell ref="O201:R201"/>
    <mergeCell ref="A103:R103"/>
    <mergeCell ref="A135:R135"/>
    <mergeCell ref="A167:R167"/>
    <mergeCell ref="O137:R137"/>
    <mergeCell ref="A136:R136"/>
    <mergeCell ref="B137:B138"/>
    <mergeCell ref="A168:R168"/>
    <mergeCell ref="A169:A170"/>
    <mergeCell ref="A145:A146"/>
    <mergeCell ref="B145:B146"/>
    <mergeCell ref="C145:C146"/>
    <mergeCell ref="D145:D146"/>
    <mergeCell ref="E145:E146"/>
    <mergeCell ref="F145:F146"/>
    <mergeCell ref="G145:G146"/>
    <mergeCell ref="O145:R145"/>
    <mergeCell ref="A156:D156"/>
    <mergeCell ref="O209:R209"/>
    <mergeCell ref="C298:C299"/>
    <mergeCell ref="D298:D299"/>
    <mergeCell ref="E298:E299"/>
    <mergeCell ref="A231:R231"/>
    <mergeCell ref="G232:G233"/>
    <mergeCell ref="G178:G179"/>
    <mergeCell ref="H178:H179"/>
    <mergeCell ref="C209:C210"/>
    <mergeCell ref="I209:I210"/>
    <mergeCell ref="B209:B210"/>
    <mergeCell ref="G209:G210"/>
    <mergeCell ref="I298:I299"/>
    <mergeCell ref="O298:R298"/>
    <mergeCell ref="A239:C239"/>
    <mergeCell ref="A240:R240"/>
    <mergeCell ref="A272:C272"/>
    <mergeCell ref="A263:R263"/>
    <mergeCell ref="A264:R264"/>
    <mergeCell ref="A265:A267"/>
    <mergeCell ref="B265:B267"/>
    <mergeCell ref="C265:C267"/>
    <mergeCell ref="D265:D267"/>
    <mergeCell ref="E265:E267"/>
  </mergeCells>
  <pageMargins left="0.78" right="0.25" top="0.75" bottom="0.75" header="0.3" footer="0.3"/>
  <pageSetup paperSize="9" scale="74" orientation="landscape" verticalDpi="4294967293" r:id="rId1"/>
  <rowBreaks count="10" manualBreakCount="10">
    <brk id="32" min="2" max="17" man="1"/>
    <brk id="63" min="2" max="17" man="1"/>
    <brk id="95" max="16383" man="1"/>
    <brk id="127" max="16383" man="1"/>
    <brk id="159" max="16383" man="1"/>
    <brk id="191" min="2" max="17" man="1"/>
    <brk id="222" min="2" max="17" man="1"/>
    <brk id="255" min="2" max="17" man="1"/>
    <brk id="288" min="2" max="17" man="1"/>
    <brk id="325" min="2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2024-12-28T09:37:28Z</cp:lastPrinted>
  <dcterms:created xsi:type="dcterms:W3CDTF">2020-08-17T17:24:41Z</dcterms:created>
  <dcterms:modified xsi:type="dcterms:W3CDTF">2025-03-10T09:41:51Z</dcterms:modified>
</cp:coreProperties>
</file>